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lta.mkm.ee/dhs/webdav/b552434dc5b76bc9373552055453a5e8c5e230d8/37906272215/035bfc92-0b0a-4d66-a9e5-11ab323426ae/"/>
    </mc:Choice>
  </mc:AlternateContent>
  <xr:revisionPtr revIDLastSave="0" documentId="13_ncr:1_{870C1FDD-255C-4EE2-B8BB-7670980AE190}" xr6:coauthVersionLast="47" xr6:coauthVersionMax="47" xr10:uidLastSave="{00000000-0000-0000-0000-000000000000}"/>
  <bookViews>
    <workbookView xWindow="-120" yWindow="-120" windowWidth="29040" windowHeight="15720" tabRatio="692" firstSheet="4" activeTab="4" xr2:uid="{00000000-000D-0000-FFFF-FFFF00000000}"/>
  </bookViews>
  <sheets>
    <sheet name="kuni 2025 detsember tegevuskava" sheetId="10" state="hidden" r:id="rId1"/>
    <sheet name="Seirearuanne" sheetId="24" state="hidden" r:id="rId2"/>
    <sheet name="Ettekande arvutused" sheetId="26" state="hidden" r:id="rId3"/>
    <sheet name="KK_lisa" sheetId="22" state="hidden" r:id="rId4"/>
    <sheet name="Tegevuskava" sheetId="23" r:id="rId5"/>
    <sheet name="Personal" sheetId="27" state="hidden" r:id="rId6"/>
  </sheets>
  <definedNames>
    <definedName name="_xlnm._FilterDatabase" localSheetId="0" hidden="1">'kuni 2025 detsember tegevuskava'!$A$33:$AR$95</definedName>
    <definedName name="_xlnm.Print_Area" localSheetId="4">Tegevuskava!$A$1:$P$229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8" i="23" l="1"/>
  <c r="F64" i="26"/>
  <c r="C64" i="26"/>
  <c r="F71" i="26"/>
  <c r="H71" i="26" s="1"/>
  <c r="F70" i="26"/>
  <c r="C70" i="26"/>
  <c r="E70" i="26" s="1"/>
  <c r="C71" i="26"/>
  <c r="E71" i="26" s="1"/>
  <c r="F67" i="26"/>
  <c r="C67" i="26"/>
  <c r="E64" i="26"/>
  <c r="E69" i="26"/>
  <c r="E72" i="26"/>
  <c r="E73" i="26"/>
  <c r="E74" i="26"/>
  <c r="E75" i="26"/>
  <c r="H65" i="26"/>
  <c r="H66" i="26"/>
  <c r="H67" i="26"/>
  <c r="H68" i="26"/>
  <c r="H69" i="26"/>
  <c r="H70" i="26"/>
  <c r="H72" i="26"/>
  <c r="H73" i="26"/>
  <c r="H74" i="26"/>
  <c r="H75" i="26"/>
  <c r="H64" i="26"/>
  <c r="E65" i="26"/>
  <c r="E66" i="26"/>
  <c r="E67" i="26"/>
  <c r="E68" i="26"/>
  <c r="G63" i="26"/>
  <c r="D63" i="26"/>
  <c r="F63" i="26" l="1"/>
  <c r="C63" i="26"/>
  <c r="E63" i="26"/>
  <c r="H63" i="26"/>
  <c r="C38" i="26" l="1"/>
  <c r="D21" i="26"/>
  <c r="C24" i="26"/>
  <c r="C37" i="26" l="1"/>
  <c r="R72" i="10" l="1"/>
  <c r="S72" i="10"/>
  <c r="T72" i="10"/>
  <c r="U72" i="10"/>
  <c r="V72" i="10"/>
  <c r="W72" i="10"/>
  <c r="Q72" i="10" l="1"/>
  <c r="C22" i="22" l="1"/>
  <c r="D22" i="22"/>
  <c r="E22" i="22"/>
  <c r="F22" i="22"/>
  <c r="G22" i="22"/>
  <c r="H22" i="22"/>
  <c r="I22" i="22"/>
  <c r="B22" i="22"/>
  <c r="B19" i="22"/>
  <c r="S43" i="24" l="1"/>
  <c r="AF106" i="10" l="1"/>
  <c r="AE106" i="10"/>
  <c r="AD106" i="10"/>
  <c r="AC106" i="10"/>
  <c r="AB106" i="10"/>
  <c r="AA106" i="10"/>
  <c r="Z106" i="10"/>
  <c r="Y106" i="10"/>
  <c r="X106" i="10"/>
  <c r="AF103" i="10"/>
  <c r="AE103" i="10"/>
  <c r="AD103" i="10"/>
  <c r="AC103" i="10"/>
  <c r="AB103" i="10"/>
  <c r="AA103" i="10"/>
  <c r="Z103" i="10"/>
  <c r="Y103" i="10"/>
  <c r="X103" i="10"/>
  <c r="AF100" i="10"/>
  <c r="AE100" i="10"/>
  <c r="AD100" i="10"/>
  <c r="AC100" i="10"/>
  <c r="AB100" i="10"/>
  <c r="AA100" i="10"/>
  <c r="Z100" i="10"/>
  <c r="Y100" i="10"/>
  <c r="X100" i="10"/>
  <c r="AF97" i="10"/>
  <c r="AE97" i="10"/>
  <c r="AD97" i="10"/>
  <c r="AC97" i="10"/>
  <c r="AB97" i="10"/>
  <c r="AA97" i="10"/>
  <c r="Z97" i="10"/>
  <c r="Y97" i="10"/>
  <c r="X97" i="10"/>
  <c r="F16" i="23" l="1" a="1"/>
  <c r="F16" i="23" s="1"/>
  <c r="E16" i="23" a="1"/>
  <c r="E16" i="23" s="1"/>
  <c r="D16" i="23" a="1"/>
  <c r="D16" i="23" s="1"/>
  <c r="S39" i="10" l="1"/>
  <c r="W35" i="10" l="1"/>
  <c r="U36" i="24"/>
  <c r="W94"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3" i="10"/>
  <c r="W74" i="10"/>
  <c r="W75" i="10"/>
  <c r="W76" i="10"/>
  <c r="W77" i="10"/>
  <c r="W78" i="10"/>
  <c r="W79" i="10"/>
  <c r="W80" i="10"/>
  <c r="W81" i="10"/>
  <c r="W82" i="10"/>
  <c r="W83" i="10"/>
  <c r="W84" i="10"/>
  <c r="W85" i="10"/>
  <c r="W86" i="10"/>
  <c r="W87" i="10"/>
  <c r="W88" i="10"/>
  <c r="W89" i="10"/>
  <c r="W90" i="10"/>
  <c r="W91" i="10"/>
  <c r="W92" i="10"/>
  <c r="W93" i="10"/>
  <c r="I54" i="26"/>
  <c r="H54" i="26"/>
  <c r="G54" i="26"/>
  <c r="F54" i="26"/>
  <c r="E54" i="26"/>
  <c r="D54" i="26"/>
  <c r="C42" i="26"/>
  <c r="E24" i="26"/>
  <c r="E21" i="26"/>
  <c r="E22" i="26"/>
  <c r="E23" i="26"/>
  <c r="E8" i="26"/>
  <c r="E9" i="26"/>
  <c r="F9" i="26"/>
  <c r="F8" i="26"/>
  <c r="F21" i="26"/>
  <c r="F24"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D7" i="24" l="1"/>
  <c r="D10" i="24"/>
  <c r="D14" i="24"/>
  <c r="D13" i="24"/>
  <c r="D6" i="24"/>
  <c r="G35" i="23" a="1"/>
  <c r="G35" i="23" s="1"/>
  <c r="E35" i="23"/>
  <c r="K80" i="23"/>
  <c r="O154" i="23"/>
  <c r="O157" i="23" s="1"/>
  <c r="O149" i="23"/>
  <c r="O152" i="23" s="1"/>
  <c r="M154" i="23"/>
  <c r="M157" i="23" s="1"/>
  <c r="K154" i="23"/>
  <c r="K157" i="23" s="1"/>
  <c r="M149" i="23"/>
  <c r="M152" i="23" s="1"/>
  <c r="K149" i="23"/>
  <c r="K152" i="23" s="1"/>
  <c r="O144" i="23"/>
  <c r="O147" i="23" s="1"/>
  <c r="M144" i="23"/>
  <c r="M147" i="23" s="1"/>
  <c r="K144" i="23"/>
  <c r="K147" i="23" s="1"/>
  <c r="O139" i="23"/>
  <c r="O142" i="23" s="1"/>
  <c r="M139" i="23"/>
  <c r="M142" i="23" s="1"/>
  <c r="K139" i="23"/>
  <c r="K142" i="23" s="1"/>
  <c r="O159" i="23"/>
  <c r="O162" i="23" s="1"/>
  <c r="O134" i="23"/>
  <c r="O137" i="23" s="1"/>
  <c r="M159" i="23"/>
  <c r="M162" i="23" s="1"/>
  <c r="M134" i="23"/>
  <c r="M137" i="23" s="1"/>
  <c r="K159" i="23"/>
  <c r="K134" i="23"/>
  <c r="K137" i="23" s="1"/>
  <c r="O129" i="23"/>
  <c r="O132" i="23" s="1"/>
  <c r="M129" i="23"/>
  <c r="M132" i="23" s="1"/>
  <c r="K129" i="23"/>
  <c r="K132" i="23" s="1"/>
  <c r="O123" i="23"/>
  <c r="O127" i="23" s="1"/>
  <c r="O122" i="23"/>
  <c r="O126" i="23" s="1"/>
  <c r="M123" i="23"/>
  <c r="M127" i="23" s="1"/>
  <c r="M122" i="23"/>
  <c r="K123" i="23"/>
  <c r="K127" i="23" s="1"/>
  <c r="K122" i="23"/>
  <c r="K126" i="23" s="1"/>
  <c r="O117" i="23"/>
  <c r="M117" i="23"/>
  <c r="M120" i="23" s="1"/>
  <c r="K117" i="23"/>
  <c r="K120" i="23" s="1"/>
  <c r="O164" i="23"/>
  <c r="O167" i="23" s="1"/>
  <c r="M164" i="23"/>
  <c r="M167" i="23" s="1"/>
  <c r="K164" i="23"/>
  <c r="K167" i="23" s="1"/>
  <c r="O112" i="23"/>
  <c r="O115" i="23" s="1"/>
  <c r="M112" i="23"/>
  <c r="M115" i="23" s="1"/>
  <c r="K112" i="23"/>
  <c r="K115" i="23" s="1"/>
  <c r="O169" i="23"/>
  <c r="M169" i="23"/>
  <c r="M172" i="23" s="1"/>
  <c r="K169" i="23"/>
  <c r="K172" i="23" s="1"/>
  <c r="O174" i="23"/>
  <c r="M174" i="23"/>
  <c r="M177" i="23" s="1"/>
  <c r="K174" i="23"/>
  <c r="K177" i="23" s="1"/>
  <c r="O179" i="23"/>
  <c r="O182" i="23" s="1"/>
  <c r="M179" i="23"/>
  <c r="M182" i="23" s="1"/>
  <c r="O107" i="23"/>
  <c r="O110" i="23" s="1"/>
  <c r="K179" i="23"/>
  <c r="K182" i="23" s="1"/>
  <c r="M107" i="23"/>
  <c r="M110" i="23" s="1"/>
  <c r="K107" i="23"/>
  <c r="O184" i="23"/>
  <c r="M184" i="23"/>
  <c r="K184" i="23"/>
  <c r="O189" i="23"/>
  <c r="M189" i="23"/>
  <c r="M192" i="23" s="1"/>
  <c r="K189" i="23"/>
  <c r="K192" i="23" s="1"/>
  <c r="O194" i="23"/>
  <c r="M194" i="23"/>
  <c r="K194" i="23"/>
  <c r="K197" i="23" s="1"/>
  <c r="O199" i="23"/>
  <c r="O202" i="23" s="1"/>
  <c r="M199" i="23"/>
  <c r="K199" i="23"/>
  <c r="K202" i="23" s="1"/>
  <c r="O204" i="23"/>
  <c r="O207" i="23" s="1"/>
  <c r="M204" i="23"/>
  <c r="M207" i="23" s="1"/>
  <c r="O102" i="23"/>
  <c r="K204" i="23"/>
  <c r="K207" i="23" s="1"/>
  <c r="M102" i="23"/>
  <c r="O209" i="23"/>
  <c r="O212" i="23" s="1"/>
  <c r="M209" i="23"/>
  <c r="M212" i="23" s="1"/>
  <c r="K102" i="23"/>
  <c r="K209" i="23"/>
  <c r="O214" i="23"/>
  <c r="O217" i="23" s="1"/>
  <c r="M214" i="23"/>
  <c r="M217" i="23" s="1"/>
  <c r="K214" i="23"/>
  <c r="K217" i="23" s="1"/>
  <c r="O96" i="23"/>
  <c r="O95" i="23"/>
  <c r="M96" i="23"/>
  <c r="M95" i="23"/>
  <c r="K96" i="23"/>
  <c r="K95" i="23"/>
  <c r="O90" i="23"/>
  <c r="M90" i="23"/>
  <c r="K90" i="23"/>
  <c r="O85" i="23"/>
  <c r="M85" i="23"/>
  <c r="K85" i="23"/>
  <c r="O80" i="23"/>
  <c r="M80" i="23"/>
  <c r="O219" i="23"/>
  <c r="O75" i="23"/>
  <c r="M75" i="23"/>
  <c r="M219" i="23"/>
  <c r="K75" i="23"/>
  <c r="K219" i="23"/>
  <c r="K222" i="23" s="1"/>
  <c r="O70" i="23"/>
  <c r="M70" i="23"/>
  <c r="K70" i="23"/>
  <c r="M36" i="23"/>
  <c r="O65" i="23"/>
  <c r="M65" i="23"/>
  <c r="K65" i="23"/>
  <c r="O60" i="23"/>
  <c r="X127" i="10"/>
  <c r="M60" i="23"/>
  <c r="K60" i="23"/>
  <c r="Y136" i="10"/>
  <c r="Z136" i="10"/>
  <c r="AA136" i="10"/>
  <c r="AB136" i="10"/>
  <c r="AC136" i="10"/>
  <c r="AD136" i="10"/>
  <c r="AE136" i="10"/>
  <c r="AF136" i="10"/>
  <c r="Y133" i="10"/>
  <c r="Z133" i="10"/>
  <c r="AA133" i="10"/>
  <c r="AB133" i="10"/>
  <c r="AC133" i="10"/>
  <c r="AD133" i="10"/>
  <c r="AE133" i="10"/>
  <c r="AF133" i="10"/>
  <c r="Y130" i="10"/>
  <c r="Z130" i="10"/>
  <c r="AA130" i="10"/>
  <c r="AB130" i="10"/>
  <c r="AC130" i="10"/>
  <c r="AD130" i="10"/>
  <c r="AE130" i="10"/>
  <c r="AF130" i="10"/>
  <c r="X136" i="10"/>
  <c r="X133" i="10"/>
  <c r="X130" i="10"/>
  <c r="P222" i="23"/>
  <c r="N222" i="23"/>
  <c r="L222" i="23"/>
  <c r="J222" i="23"/>
  <c r="P219" i="23"/>
  <c r="N219" i="23"/>
  <c r="L219" i="23"/>
  <c r="J219" i="23"/>
  <c r="Y127" i="10"/>
  <c r="Z127" i="10"/>
  <c r="AA127" i="10"/>
  <c r="AB127" i="10"/>
  <c r="AC127" i="10"/>
  <c r="AD127" i="10"/>
  <c r="AE127" i="10"/>
  <c r="AF127" i="10"/>
  <c r="P217" i="23"/>
  <c r="N217" i="23"/>
  <c r="L217" i="23"/>
  <c r="J217" i="23"/>
  <c r="P214" i="23"/>
  <c r="N214" i="23"/>
  <c r="L214" i="23"/>
  <c r="J214" i="23"/>
  <c r="P212" i="23"/>
  <c r="N212" i="23"/>
  <c r="L212" i="23"/>
  <c r="J212" i="23"/>
  <c r="P209" i="23"/>
  <c r="N209" i="23"/>
  <c r="L209" i="23"/>
  <c r="J209" i="23"/>
  <c r="P207" i="23"/>
  <c r="N207" i="23"/>
  <c r="L207" i="23"/>
  <c r="J207" i="23"/>
  <c r="P204" i="23"/>
  <c r="N204" i="23"/>
  <c r="L204" i="23"/>
  <c r="J204" i="23"/>
  <c r="P202" i="23"/>
  <c r="N202" i="23"/>
  <c r="L202" i="23"/>
  <c r="J202" i="23"/>
  <c r="P199" i="23"/>
  <c r="N199" i="23"/>
  <c r="L199" i="23"/>
  <c r="J199" i="23"/>
  <c r="Y121" i="10"/>
  <c r="Z121" i="10"/>
  <c r="AA121" i="10"/>
  <c r="AB121" i="10"/>
  <c r="AC121" i="10"/>
  <c r="AD121" i="10"/>
  <c r="AE121" i="10"/>
  <c r="AF121" i="10"/>
  <c r="X121" i="10"/>
  <c r="P197" i="23"/>
  <c r="N197" i="23"/>
  <c r="L197" i="23"/>
  <c r="J197" i="23"/>
  <c r="P194" i="23"/>
  <c r="N194" i="23"/>
  <c r="L194" i="23"/>
  <c r="J194" i="23"/>
  <c r="P192" i="23"/>
  <c r="N192" i="23"/>
  <c r="L192" i="23"/>
  <c r="J192" i="23"/>
  <c r="P189" i="23"/>
  <c r="N189" i="23"/>
  <c r="L189" i="23"/>
  <c r="J189" i="23"/>
  <c r="P187" i="23"/>
  <c r="N187" i="23"/>
  <c r="L187" i="23"/>
  <c r="J187" i="23"/>
  <c r="P184" i="23"/>
  <c r="N184" i="23"/>
  <c r="L184" i="23"/>
  <c r="J184" i="23"/>
  <c r="P182" i="23"/>
  <c r="N182" i="23"/>
  <c r="L182" i="23"/>
  <c r="J182" i="23"/>
  <c r="P179" i="23"/>
  <c r="N179" i="23"/>
  <c r="L179" i="23"/>
  <c r="J179" i="23"/>
  <c r="P177" i="23"/>
  <c r="N177" i="23"/>
  <c r="L177" i="23"/>
  <c r="J177" i="23"/>
  <c r="P174" i="23"/>
  <c r="N174" i="23"/>
  <c r="L174" i="23"/>
  <c r="J174" i="23"/>
  <c r="P172" i="23"/>
  <c r="N172" i="23"/>
  <c r="L172" i="23"/>
  <c r="J172" i="23"/>
  <c r="P169" i="23"/>
  <c r="N169" i="23"/>
  <c r="L169" i="23"/>
  <c r="J169" i="23"/>
  <c r="Y118" i="10"/>
  <c r="Z118" i="10"/>
  <c r="AA118" i="10"/>
  <c r="AB118" i="10"/>
  <c r="AC118" i="10"/>
  <c r="AD118" i="10"/>
  <c r="AE118" i="10"/>
  <c r="AF118" i="10"/>
  <c r="X118" i="10"/>
  <c r="P167" i="23"/>
  <c r="N167" i="23"/>
  <c r="L167" i="23"/>
  <c r="J167" i="23"/>
  <c r="P164" i="23"/>
  <c r="N164" i="23"/>
  <c r="L164" i="23"/>
  <c r="J164" i="23"/>
  <c r="P162" i="23"/>
  <c r="N162" i="23"/>
  <c r="L162" i="23"/>
  <c r="J162" i="23"/>
  <c r="P159" i="23"/>
  <c r="N159" i="23"/>
  <c r="L159" i="23"/>
  <c r="J159" i="23"/>
  <c r="Y115" i="10"/>
  <c r="Z115" i="10"/>
  <c r="AA115" i="10"/>
  <c r="AB115" i="10"/>
  <c r="AC115" i="10"/>
  <c r="AD115" i="10"/>
  <c r="AE115" i="10"/>
  <c r="AF115" i="10"/>
  <c r="X115" i="10"/>
  <c r="P157" i="23"/>
  <c r="N157" i="23"/>
  <c r="L157" i="23"/>
  <c r="J157" i="23"/>
  <c r="P154" i="23"/>
  <c r="N154" i="23"/>
  <c r="L154" i="23"/>
  <c r="J154" i="23"/>
  <c r="P152" i="23"/>
  <c r="N152" i="23"/>
  <c r="L152" i="23"/>
  <c r="J152" i="23"/>
  <c r="P149" i="23"/>
  <c r="N149" i="23"/>
  <c r="L149" i="23"/>
  <c r="J149" i="23"/>
  <c r="Y112" i="10"/>
  <c r="Z112" i="10"/>
  <c r="AA112" i="10"/>
  <c r="AB112" i="10"/>
  <c r="AC112" i="10"/>
  <c r="AD112" i="10"/>
  <c r="AE112" i="10"/>
  <c r="AF112" i="10"/>
  <c r="X112" i="10"/>
  <c r="P147" i="23"/>
  <c r="N147" i="23"/>
  <c r="L147" i="23"/>
  <c r="J147" i="23"/>
  <c r="P144" i="23"/>
  <c r="N144" i="23"/>
  <c r="L144" i="23"/>
  <c r="J144" i="23"/>
  <c r="B218" i="23"/>
  <c r="D218" i="23"/>
  <c r="E218" i="23"/>
  <c r="F218" i="23"/>
  <c r="G218" i="23" a="1"/>
  <c r="G218" i="23" s="1"/>
  <c r="H218" i="23" a="1"/>
  <c r="H218" i="23" s="1"/>
  <c r="J139" i="23"/>
  <c r="L139" i="23"/>
  <c r="N139" i="23"/>
  <c r="P139" i="23"/>
  <c r="J142" i="23"/>
  <c r="L142" i="23"/>
  <c r="N142" i="23"/>
  <c r="P142" i="23"/>
  <c r="J134" i="23"/>
  <c r="L134" i="23"/>
  <c r="N134" i="23"/>
  <c r="P134" i="23"/>
  <c r="J137" i="23"/>
  <c r="L137" i="23"/>
  <c r="N137" i="23"/>
  <c r="P137" i="23"/>
  <c r="J129" i="23"/>
  <c r="L129" i="23"/>
  <c r="N129" i="23"/>
  <c r="P129" i="23"/>
  <c r="J132" i="23"/>
  <c r="L132" i="23"/>
  <c r="N132" i="23"/>
  <c r="P132" i="23"/>
  <c r="J122" i="23"/>
  <c r="L122" i="23"/>
  <c r="N122" i="23"/>
  <c r="P122" i="23"/>
  <c r="J123" i="23"/>
  <c r="L123" i="23"/>
  <c r="N123" i="23"/>
  <c r="P123" i="23"/>
  <c r="J126" i="23"/>
  <c r="L126" i="23"/>
  <c r="N126" i="23"/>
  <c r="P126" i="23"/>
  <c r="J127" i="23"/>
  <c r="L127" i="23"/>
  <c r="N127" i="23"/>
  <c r="P127" i="23"/>
  <c r="J117" i="23"/>
  <c r="L117" i="23"/>
  <c r="N117" i="23"/>
  <c r="P117" i="23"/>
  <c r="J120" i="23"/>
  <c r="L120" i="23"/>
  <c r="N120" i="23"/>
  <c r="P120" i="23"/>
  <c r="J112" i="23"/>
  <c r="L112" i="23"/>
  <c r="N112" i="23"/>
  <c r="P112" i="23"/>
  <c r="J115" i="23"/>
  <c r="L115" i="23"/>
  <c r="N115" i="23"/>
  <c r="P115" i="23"/>
  <c r="J107" i="23"/>
  <c r="L107" i="23"/>
  <c r="N107" i="23"/>
  <c r="P107" i="23"/>
  <c r="J110" i="23"/>
  <c r="L110" i="23"/>
  <c r="N110" i="23"/>
  <c r="P110" i="23"/>
  <c r="D15" i="23" l="1" a="1"/>
  <c r="D15" i="23" s="1"/>
  <c r="E17" i="23" a="1"/>
  <c r="E17" i="23" s="1"/>
  <c r="D17" i="23" a="1"/>
  <c r="D17" i="23" s="1"/>
  <c r="E15" i="23" a="1"/>
  <c r="E15" i="23" s="1"/>
  <c r="F15" i="23" a="1"/>
  <c r="F15" i="23" s="1"/>
  <c r="F17" i="23" a="1"/>
  <c r="F17" i="23" s="1"/>
  <c r="O168" i="23"/>
  <c r="O213" i="23"/>
  <c r="I219" i="23"/>
  <c r="K206" i="23"/>
  <c r="O218" i="23"/>
  <c r="M213" i="23"/>
  <c r="I214" i="23"/>
  <c r="K146" i="23"/>
  <c r="I209" i="23"/>
  <c r="K212" i="23"/>
  <c r="K211" i="23" s="1"/>
  <c r="M218" i="23"/>
  <c r="I157" i="23"/>
  <c r="I199" i="23"/>
  <c r="K221" i="23"/>
  <c r="K218" i="23"/>
  <c r="M222" i="23"/>
  <c r="O222" i="23"/>
  <c r="I207" i="23"/>
  <c r="K158" i="23"/>
  <c r="K183" i="23"/>
  <c r="M202" i="23"/>
  <c r="I202" i="23" s="1"/>
  <c r="M198" i="23"/>
  <c r="O163" i="23"/>
  <c r="O201" i="23"/>
  <c r="O206" i="23"/>
  <c r="K198" i="23"/>
  <c r="I167" i="23"/>
  <c r="K188" i="23"/>
  <c r="M208" i="23"/>
  <c r="K208" i="23"/>
  <c r="I152" i="23"/>
  <c r="I204" i="23"/>
  <c r="O183" i="23"/>
  <c r="O208" i="23"/>
  <c r="I217" i="23"/>
  <c r="K216" i="23"/>
  <c r="O216" i="23"/>
  <c r="K213" i="23"/>
  <c r="M211" i="23"/>
  <c r="O211" i="23"/>
  <c r="M206" i="23"/>
  <c r="K203" i="23"/>
  <c r="M203" i="23"/>
  <c r="O203" i="23"/>
  <c r="O198" i="23"/>
  <c r="O153" i="23"/>
  <c r="I164" i="23"/>
  <c r="M183" i="23"/>
  <c r="I147" i="23"/>
  <c r="K148" i="23"/>
  <c r="I169" i="23"/>
  <c r="O178" i="23"/>
  <c r="K163" i="23"/>
  <c r="K178" i="23"/>
  <c r="O188" i="23"/>
  <c r="M143" i="23"/>
  <c r="M148" i="23"/>
  <c r="O193" i="23"/>
  <c r="O146" i="23"/>
  <c r="O148" i="23"/>
  <c r="I159" i="23"/>
  <c r="O173" i="23"/>
  <c r="M193" i="23"/>
  <c r="I154" i="23"/>
  <c r="M163" i="23"/>
  <c r="O166" i="23"/>
  <c r="I179" i="23"/>
  <c r="I144" i="23"/>
  <c r="I149" i="23"/>
  <c r="M153" i="23"/>
  <c r="O161" i="23"/>
  <c r="K196" i="23"/>
  <c r="M197" i="23"/>
  <c r="K193" i="23"/>
  <c r="I194" i="23"/>
  <c r="O197" i="23"/>
  <c r="O196" i="23" s="1"/>
  <c r="M191" i="23"/>
  <c r="O192" i="23"/>
  <c r="O191" i="23" s="1"/>
  <c r="I189" i="23"/>
  <c r="M188" i="23"/>
  <c r="O187" i="23"/>
  <c r="I184" i="23"/>
  <c r="K187" i="23"/>
  <c r="M187" i="23"/>
  <c r="M186" i="23" s="1"/>
  <c r="M181" i="23"/>
  <c r="K181" i="23"/>
  <c r="I182" i="23"/>
  <c r="M178" i="23"/>
  <c r="M176" i="23"/>
  <c r="K176" i="23"/>
  <c r="M173" i="23"/>
  <c r="O177" i="23"/>
  <c r="O176" i="23" s="1"/>
  <c r="I174" i="23"/>
  <c r="K173" i="23"/>
  <c r="K171" i="23"/>
  <c r="M168" i="23"/>
  <c r="O172" i="23"/>
  <c r="O171" i="23" s="1"/>
  <c r="K168" i="23"/>
  <c r="M166" i="23"/>
  <c r="K166" i="23"/>
  <c r="M161" i="23"/>
  <c r="K162" i="23"/>
  <c r="I162" i="23" s="1"/>
  <c r="O158" i="23"/>
  <c r="M158" i="23"/>
  <c r="K156" i="23"/>
  <c r="K153" i="23"/>
  <c r="O156" i="23"/>
  <c r="M151" i="23"/>
  <c r="K151" i="23"/>
  <c r="O151" i="23"/>
  <c r="K143" i="23"/>
  <c r="O143" i="23"/>
  <c r="M121" i="23"/>
  <c r="I117" i="23"/>
  <c r="I132" i="23"/>
  <c r="K128" i="23"/>
  <c r="O136" i="23"/>
  <c r="I137" i="23"/>
  <c r="K133" i="23"/>
  <c r="K131" i="23"/>
  <c r="O141" i="23"/>
  <c r="O125" i="23"/>
  <c r="I129" i="23"/>
  <c r="K136" i="23"/>
  <c r="I127" i="23"/>
  <c r="K138" i="23"/>
  <c r="O131" i="23"/>
  <c r="M131" i="23"/>
  <c r="I122" i="23"/>
  <c r="K141" i="23"/>
  <c r="K121" i="23"/>
  <c r="I139" i="23"/>
  <c r="M141" i="23"/>
  <c r="I142" i="23"/>
  <c r="O138" i="23"/>
  <c r="M138" i="23"/>
  <c r="M136" i="23"/>
  <c r="I134" i="23"/>
  <c r="O133" i="23"/>
  <c r="M133" i="23"/>
  <c r="O128" i="23"/>
  <c r="M128" i="23"/>
  <c r="M126" i="23"/>
  <c r="M125" i="23" s="1"/>
  <c r="I123" i="23"/>
  <c r="O121" i="23"/>
  <c r="K116" i="23"/>
  <c r="M119" i="23"/>
  <c r="O120" i="23"/>
  <c r="O119" i="23" s="1"/>
  <c r="M116" i="23"/>
  <c r="O116" i="23"/>
  <c r="O114" i="23"/>
  <c r="I115" i="23"/>
  <c r="M114" i="23"/>
  <c r="K114" i="23"/>
  <c r="K111" i="23"/>
  <c r="O111" i="23"/>
  <c r="I112" i="23"/>
  <c r="M111" i="23"/>
  <c r="I107" i="23"/>
  <c r="M109" i="23"/>
  <c r="K106" i="23"/>
  <c r="O109" i="23"/>
  <c r="O106" i="23"/>
  <c r="K110" i="23"/>
  <c r="I110" i="23" s="1"/>
  <c r="M106" i="23"/>
  <c r="I212" i="23" l="1"/>
  <c r="I211" i="23" s="1"/>
  <c r="I203" i="23"/>
  <c r="O221" i="23"/>
  <c r="I213" i="23"/>
  <c r="I218" i="23"/>
  <c r="I206" i="23"/>
  <c r="I198" i="23"/>
  <c r="I183" i="23"/>
  <c r="I208" i="23"/>
  <c r="I143" i="23"/>
  <c r="I158" i="23"/>
  <c r="I128" i="23"/>
  <c r="M171" i="23"/>
  <c r="I168" i="23"/>
  <c r="O186" i="23"/>
  <c r="M221" i="23"/>
  <c r="I222" i="23"/>
  <c r="I221" i="23" s="1"/>
  <c r="O181" i="23"/>
  <c r="I166" i="23"/>
  <c r="I173" i="23"/>
  <c r="I193" i="23"/>
  <c r="M216" i="23"/>
  <c r="I216" i="23"/>
  <c r="M201" i="23"/>
  <c r="I201" i="23"/>
  <c r="K201" i="23"/>
  <c r="I136" i="23"/>
  <c r="I153" i="23"/>
  <c r="I148" i="23"/>
  <c r="I121" i="23"/>
  <c r="I151" i="23"/>
  <c r="I188" i="23"/>
  <c r="I163" i="23"/>
  <c r="I178" i="23"/>
  <c r="M196" i="23"/>
  <c r="I197" i="23"/>
  <c r="I196" i="23" s="1"/>
  <c r="K191" i="23"/>
  <c r="I192" i="23"/>
  <c r="I191" i="23" s="1"/>
  <c r="K186" i="23"/>
  <c r="I187" i="23"/>
  <c r="I186" i="23" s="1"/>
  <c r="I181" i="23"/>
  <c r="I177" i="23"/>
  <c r="I176" i="23" s="1"/>
  <c r="I172" i="23"/>
  <c r="I171" i="23" s="1"/>
  <c r="I161" i="23"/>
  <c r="K161" i="23"/>
  <c r="I156" i="23"/>
  <c r="M156" i="23"/>
  <c r="M146" i="23"/>
  <c r="I146" i="23"/>
  <c r="I116" i="23"/>
  <c r="I131" i="23"/>
  <c r="I133" i="23"/>
  <c r="I138" i="23"/>
  <c r="I141" i="23"/>
  <c r="K125" i="23"/>
  <c r="I126" i="23"/>
  <c r="I120" i="23"/>
  <c r="I119" i="23" s="1"/>
  <c r="K119" i="23"/>
  <c r="I114" i="23"/>
  <c r="I106" i="23"/>
  <c r="I111" i="23"/>
  <c r="I109" i="23"/>
  <c r="K109" i="23"/>
  <c r="I125" i="23" l="1"/>
  <c r="Z116" i="10" l="1"/>
  <c r="Y116" i="10"/>
  <c r="X116" i="10"/>
  <c r="AF113" i="10"/>
  <c r="AD113" i="10"/>
  <c r="AB113" i="10"/>
  <c r="Z113" i="10"/>
  <c r="X113" i="10"/>
  <c r="AF137" i="10"/>
  <c r="AE137" i="10"/>
  <c r="AD137" i="10"/>
  <c r="AC137" i="10"/>
  <c r="AB137" i="10"/>
  <c r="AA137" i="10"/>
  <c r="Z137" i="10"/>
  <c r="Y137" i="10"/>
  <c r="X137" i="10"/>
  <c r="AF134" i="10"/>
  <c r="AE134" i="10"/>
  <c r="AD134" i="10"/>
  <c r="AC134" i="10"/>
  <c r="AB134" i="10"/>
  <c r="AA134" i="10"/>
  <c r="Z134" i="10"/>
  <c r="Y134" i="10"/>
  <c r="X134" i="10"/>
  <c r="AF131" i="10"/>
  <c r="AF122" i="10"/>
  <c r="AE131" i="10"/>
  <c r="AE122" i="10"/>
  <c r="AD122" i="10"/>
  <c r="AC122" i="10"/>
  <c r="AD131" i="10"/>
  <c r="AB122" i="10"/>
  <c r="AC131" i="10"/>
  <c r="AA122" i="10"/>
  <c r="Z122" i="10"/>
  <c r="AB131" i="10"/>
  <c r="Y122" i="10"/>
  <c r="X122" i="10"/>
  <c r="AA131" i="10"/>
  <c r="Z131" i="10"/>
  <c r="Y131" i="10"/>
  <c r="AF119" i="10"/>
  <c r="AE119" i="10"/>
  <c r="AD119" i="10"/>
  <c r="X131" i="10"/>
  <c r="AC119" i="10"/>
  <c r="AB119" i="10"/>
  <c r="AA119" i="10"/>
  <c r="Z119" i="10"/>
  <c r="Y119" i="10"/>
  <c r="X119" i="10"/>
  <c r="AF116" i="10"/>
  <c r="AF128" i="10"/>
  <c r="AE128" i="10"/>
  <c r="AD128" i="10"/>
  <c r="AC128" i="10"/>
  <c r="AB128" i="10"/>
  <c r="Z128" i="10"/>
  <c r="Y128" i="10"/>
  <c r="AE116" i="10"/>
  <c r="AD116" i="10"/>
  <c r="AC116" i="10"/>
  <c r="AB116" i="10"/>
  <c r="AA116" i="10"/>
  <c r="Y94" i="10"/>
  <c r="Z94" i="10"/>
  <c r="AA94" i="10"/>
  <c r="AB94" i="10"/>
  <c r="AC94" i="10"/>
  <c r="AD94" i="10"/>
  <c r="AE94" i="10"/>
  <c r="AF94" i="10"/>
  <c r="X94" i="10"/>
  <c r="AB95" i="10" l="1"/>
  <c r="AD95" i="10"/>
  <c r="AE95" i="10"/>
  <c r="AF95" i="10"/>
  <c r="AA95" i="10"/>
  <c r="AC95" i="10"/>
  <c r="AC113" i="10"/>
  <c r="AA113" i="10"/>
  <c r="Y113" i="10"/>
  <c r="X128" i="10"/>
  <c r="AA128" i="10"/>
  <c r="AE113" i="10"/>
  <c r="AF98" i="10" l="1"/>
  <c r="AD98" i="10"/>
  <c r="AB98" i="10"/>
  <c r="AC98" i="10"/>
  <c r="AE98" i="10"/>
  <c r="Z107" i="10"/>
  <c r="Y107" i="10"/>
  <c r="X107" i="10"/>
  <c r="Z104" i="10"/>
  <c r="Y104" i="10"/>
  <c r="X104" i="10"/>
  <c r="AA98" i="10"/>
  <c r="E23" i="23" s="1"/>
  <c r="AF107" i="10"/>
  <c r="AE107" i="10"/>
  <c r="AD107" i="10"/>
  <c r="AC107" i="10"/>
  <c r="AB107" i="10"/>
  <c r="AA107" i="10"/>
  <c r="AF104" i="10"/>
  <c r="AE104" i="10"/>
  <c r="AD104" i="10"/>
  <c r="AC104" i="10"/>
  <c r="AB104" i="10"/>
  <c r="AA104" i="10"/>
  <c r="AF101" i="10"/>
  <c r="AE101" i="10"/>
  <c r="AD101" i="10"/>
  <c r="AC101" i="10"/>
  <c r="AB101" i="10"/>
  <c r="AA101" i="10"/>
  <c r="F24" i="23" l="1"/>
  <c r="E6" i="22" s="1"/>
  <c r="D25" i="23"/>
  <c r="C7" i="22" s="1"/>
  <c r="E25" i="23"/>
  <c r="D7" i="22" s="1"/>
  <c r="F25" i="23"/>
  <c r="E7" i="22" s="1"/>
  <c r="E24" i="23"/>
  <c r="D6" i="22" s="1"/>
  <c r="E26" i="23"/>
  <c r="D8" i="22" s="1"/>
  <c r="Z101" i="10"/>
  <c r="Z95" i="10"/>
  <c r="F26" i="23"/>
  <c r="E8" i="22" s="1"/>
  <c r="Y101" i="10"/>
  <c r="Y95" i="10"/>
  <c r="D26" i="23"/>
  <c r="C8" i="22" s="1"/>
  <c r="X101" i="10"/>
  <c r="X95" i="10"/>
  <c r="D5" i="22"/>
  <c r="F23" i="23"/>
  <c r="E5" i="22" s="1"/>
  <c r="C36" i="26"/>
  <c r="D20" i="26"/>
  <c r="D6" i="26" s="1"/>
  <c r="D7" i="26" s="1"/>
  <c r="E20" i="26"/>
  <c r="C20" i="26"/>
  <c r="C6" i="26" s="1"/>
  <c r="C7" i="26" s="1"/>
  <c r="Z98" i="10"/>
  <c r="Y98" i="10"/>
  <c r="X98" i="10"/>
  <c r="J102" i="23"/>
  <c r="K105" i="23"/>
  <c r="L102" i="23"/>
  <c r="M105" i="23"/>
  <c r="N102" i="23"/>
  <c r="O105" i="23"/>
  <c r="P102" i="23"/>
  <c r="J105" i="23"/>
  <c r="L105" i="23"/>
  <c r="N105" i="23"/>
  <c r="P105" i="23"/>
  <c r="J95" i="23"/>
  <c r="K99" i="23"/>
  <c r="L95" i="23"/>
  <c r="M99" i="23"/>
  <c r="N95" i="23"/>
  <c r="O99" i="23"/>
  <c r="P95" i="23"/>
  <c r="J96" i="23"/>
  <c r="K100" i="23"/>
  <c r="L96" i="23"/>
  <c r="M100" i="23"/>
  <c r="N96" i="23"/>
  <c r="O100" i="23"/>
  <c r="P96" i="23"/>
  <c r="J99" i="23"/>
  <c r="L99" i="23"/>
  <c r="N99" i="23"/>
  <c r="P99" i="23"/>
  <c r="J100" i="23"/>
  <c r="L100" i="23"/>
  <c r="N100" i="23"/>
  <c r="P100" i="23"/>
  <c r="J90" i="23"/>
  <c r="L90" i="23"/>
  <c r="N90" i="23"/>
  <c r="P90" i="23"/>
  <c r="J93" i="23"/>
  <c r="L93" i="23"/>
  <c r="N93" i="23"/>
  <c r="P93" i="23"/>
  <c r="J85" i="23"/>
  <c r="K88" i="23"/>
  <c r="L85" i="23"/>
  <c r="M88" i="23"/>
  <c r="N85" i="23"/>
  <c r="O88" i="23"/>
  <c r="P85" i="23"/>
  <c r="J88" i="23"/>
  <c r="L88" i="23"/>
  <c r="N88" i="23"/>
  <c r="P88" i="23"/>
  <c r="J80" i="23"/>
  <c r="L80" i="23"/>
  <c r="M83" i="23"/>
  <c r="N80" i="23"/>
  <c r="O83" i="23"/>
  <c r="P80" i="23"/>
  <c r="J83" i="23"/>
  <c r="L83" i="23"/>
  <c r="N83" i="23"/>
  <c r="P83" i="23"/>
  <c r="J75" i="23"/>
  <c r="K78" i="23"/>
  <c r="L75" i="23"/>
  <c r="M78" i="23"/>
  <c r="N75" i="23"/>
  <c r="O78" i="23"/>
  <c r="P75" i="23"/>
  <c r="J78" i="23"/>
  <c r="L78" i="23"/>
  <c r="N78" i="23"/>
  <c r="P78" i="23"/>
  <c r="J70" i="23"/>
  <c r="L70" i="23"/>
  <c r="M73" i="23"/>
  <c r="N70" i="23"/>
  <c r="O73" i="23"/>
  <c r="P70" i="23"/>
  <c r="J73" i="23"/>
  <c r="L73" i="23"/>
  <c r="N73" i="23"/>
  <c r="P73" i="23"/>
  <c r="J65" i="23"/>
  <c r="L65" i="23"/>
  <c r="M68" i="23"/>
  <c r="N65" i="23"/>
  <c r="O68" i="23"/>
  <c r="P65" i="23"/>
  <c r="J68" i="23"/>
  <c r="L68" i="23"/>
  <c r="N68" i="23"/>
  <c r="P68" i="23"/>
  <c r="J60" i="23"/>
  <c r="L60" i="23"/>
  <c r="M63" i="23"/>
  <c r="N60" i="23"/>
  <c r="O63" i="23"/>
  <c r="P60" i="23"/>
  <c r="J63" i="23"/>
  <c r="L63" i="23"/>
  <c r="N63" i="23"/>
  <c r="P63" i="23"/>
  <c r="E14" i="23"/>
  <c r="F14" i="23"/>
  <c r="C15" i="23"/>
  <c r="C17" i="23"/>
  <c r="F6" i="26" l="1"/>
  <c r="E7" i="26"/>
  <c r="E6" i="26" s="1"/>
  <c r="F7" i="26"/>
  <c r="D9" i="22"/>
  <c r="B8" i="22"/>
  <c r="F20" i="26"/>
  <c r="E9" i="22"/>
  <c r="B7" i="22"/>
  <c r="C25" i="23"/>
  <c r="D24" i="23"/>
  <c r="K93" i="23"/>
  <c r="K92" i="23" s="1"/>
  <c r="E22" i="23"/>
  <c r="C26" i="23"/>
  <c r="F22" i="23"/>
  <c r="D23" i="23"/>
  <c r="C5" i="22" s="1"/>
  <c r="K94" i="23"/>
  <c r="O104" i="23"/>
  <c r="M101" i="23"/>
  <c r="K104" i="23"/>
  <c r="K101" i="23"/>
  <c r="I105" i="23"/>
  <c r="M104" i="23"/>
  <c r="I100" i="23"/>
  <c r="K98" i="23"/>
  <c r="I102" i="23"/>
  <c r="O89" i="23"/>
  <c r="I95" i="23"/>
  <c r="O101" i="23"/>
  <c r="O98" i="23"/>
  <c r="I99" i="23"/>
  <c r="M98" i="23"/>
  <c r="O94" i="23"/>
  <c r="I96" i="23"/>
  <c r="M94" i="23"/>
  <c r="O93" i="23"/>
  <c r="O92" i="23" s="1"/>
  <c r="M89" i="23"/>
  <c r="M93" i="23"/>
  <c r="K84" i="23"/>
  <c r="O87" i="23"/>
  <c r="I88" i="23"/>
  <c r="M87" i="23"/>
  <c r="I85" i="23"/>
  <c r="M84" i="23"/>
  <c r="O84" i="23"/>
  <c r="K79" i="23"/>
  <c r="K77" i="23"/>
  <c r="K83" i="23"/>
  <c r="I83" i="23" s="1"/>
  <c r="O82" i="23"/>
  <c r="M82" i="23"/>
  <c r="I80" i="23"/>
  <c r="O79" i="23"/>
  <c r="M79" i="23"/>
  <c r="O77" i="23"/>
  <c r="M77" i="23"/>
  <c r="I78" i="23"/>
  <c r="K74" i="23"/>
  <c r="I75" i="23"/>
  <c r="O74" i="23"/>
  <c r="M74" i="23"/>
  <c r="O72" i="23"/>
  <c r="I70" i="23"/>
  <c r="M72" i="23"/>
  <c r="K73" i="23"/>
  <c r="O69" i="23"/>
  <c r="M69" i="23"/>
  <c r="K59" i="23"/>
  <c r="O67" i="23"/>
  <c r="M59" i="23"/>
  <c r="M67" i="23"/>
  <c r="K63" i="23"/>
  <c r="I63" i="23" s="1"/>
  <c r="O59" i="23"/>
  <c r="O64" i="23"/>
  <c r="M64" i="23"/>
  <c r="O62" i="23"/>
  <c r="M62" i="23"/>
  <c r="I60" i="23"/>
  <c r="D14" i="23" l="1"/>
  <c r="C14" i="23" s="1"/>
  <c r="C16" i="23"/>
  <c r="B5" i="22"/>
  <c r="C24" i="23"/>
  <c r="C6" i="22"/>
  <c r="B6" i="22" s="1"/>
  <c r="I90" i="23"/>
  <c r="I89" i="23" s="1"/>
  <c r="I101" i="23"/>
  <c r="I84" i="23"/>
  <c r="D22" i="23"/>
  <c r="C22" i="23" s="1"/>
  <c r="K89" i="23"/>
  <c r="I93" i="23"/>
  <c r="I92" i="23" s="1"/>
  <c r="C23" i="23"/>
  <c r="I98" i="23"/>
  <c r="I87" i="23"/>
  <c r="I104" i="23"/>
  <c r="I74" i="23"/>
  <c r="I62" i="23"/>
  <c r="I79" i="23"/>
  <c r="I94" i="23"/>
  <c r="M92" i="23"/>
  <c r="I82" i="23"/>
  <c r="K87" i="23"/>
  <c r="I77" i="23"/>
  <c r="K82" i="23"/>
  <c r="I73" i="23"/>
  <c r="K62" i="23"/>
  <c r="I59"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7" i="24"/>
  <c r="R37" i="10"/>
  <c r="S37" i="10"/>
  <c r="T37" i="10"/>
  <c r="U37" i="10"/>
  <c r="V37" i="10"/>
  <c r="R38" i="10"/>
  <c r="V38" i="10"/>
  <c r="R39" i="10"/>
  <c r="T39" i="10"/>
  <c r="V39" i="10"/>
  <c r="R40" i="10"/>
  <c r="S40" i="10"/>
  <c r="T40" i="10"/>
  <c r="U40" i="10"/>
  <c r="V40" i="10"/>
  <c r="R41" i="10"/>
  <c r="S41" i="10"/>
  <c r="T41" i="10"/>
  <c r="U41" i="10"/>
  <c r="V41" i="10"/>
  <c r="R42" i="10"/>
  <c r="S42" i="10"/>
  <c r="T42" i="10"/>
  <c r="U42" i="10"/>
  <c r="V42" i="10"/>
  <c r="R44" i="10"/>
  <c r="S44" i="10"/>
  <c r="T44" i="10"/>
  <c r="U44" i="10"/>
  <c r="R46" i="10"/>
  <c r="S46" i="10"/>
  <c r="T46" i="10"/>
  <c r="U46" i="10"/>
  <c r="V46" i="10"/>
  <c r="R47" i="10"/>
  <c r="S47" i="10"/>
  <c r="T47" i="10"/>
  <c r="U47" i="10"/>
  <c r="V47" i="10"/>
  <c r="S49" i="10"/>
  <c r="T49" i="10"/>
  <c r="U49" i="10"/>
  <c r="V49" i="10"/>
  <c r="R51" i="10"/>
  <c r="S51" i="10"/>
  <c r="T51" i="10"/>
  <c r="U51" i="10"/>
  <c r="R52" i="10"/>
  <c r="S52" i="10"/>
  <c r="T52" i="10"/>
  <c r="U52" i="10"/>
  <c r="V52" i="10"/>
  <c r="R53" i="10"/>
  <c r="S53" i="10"/>
  <c r="T53" i="10"/>
  <c r="U53" i="10"/>
  <c r="V53" i="10"/>
  <c r="R55" i="10"/>
  <c r="S55" i="10"/>
  <c r="T55" i="10"/>
  <c r="U55" i="10"/>
  <c r="S56" i="10"/>
  <c r="T56" i="10"/>
  <c r="U56" i="10"/>
  <c r="V56" i="10"/>
  <c r="R58" i="10"/>
  <c r="S58" i="10"/>
  <c r="T58" i="10"/>
  <c r="U58" i="10"/>
  <c r="V58" i="10"/>
  <c r="R62" i="10"/>
  <c r="R63" i="10"/>
  <c r="S63" i="10"/>
  <c r="T63" i="10"/>
  <c r="U63" i="10"/>
  <c r="V63" i="10"/>
  <c r="R64" i="10"/>
  <c r="S64" i="10"/>
  <c r="T64" i="10"/>
  <c r="U64" i="10"/>
  <c r="V64" i="10"/>
  <c r="S65" i="10"/>
  <c r="T65" i="10"/>
  <c r="E8" i="10" s="1"/>
  <c r="U65" i="10"/>
  <c r="V65" i="10"/>
  <c r="R66" i="10"/>
  <c r="S66" i="10"/>
  <c r="T66" i="10"/>
  <c r="U66" i="10"/>
  <c r="V66" i="10"/>
  <c r="R67" i="10"/>
  <c r="S67" i="10"/>
  <c r="T67" i="10"/>
  <c r="U67" i="10"/>
  <c r="V67" i="10"/>
  <c r="R68" i="10"/>
  <c r="S68" i="10"/>
  <c r="T68" i="10"/>
  <c r="U68" i="10"/>
  <c r="V68" i="10"/>
  <c r="R69" i="10"/>
  <c r="S69" i="10"/>
  <c r="T69" i="10"/>
  <c r="U69" i="10"/>
  <c r="V69" i="10"/>
  <c r="R73" i="10"/>
  <c r="S73" i="10"/>
  <c r="T73" i="10"/>
  <c r="U73" i="10"/>
  <c r="V73" i="10"/>
  <c r="R74" i="10"/>
  <c r="S74" i="10"/>
  <c r="T74" i="10"/>
  <c r="U74" i="10"/>
  <c r="V74" i="10"/>
  <c r="R75" i="10"/>
  <c r="S75" i="10"/>
  <c r="T75" i="10"/>
  <c r="U75" i="10"/>
  <c r="V75" i="10"/>
  <c r="R76" i="10"/>
  <c r="S76" i="10"/>
  <c r="T76" i="10"/>
  <c r="U76" i="10"/>
  <c r="V76" i="10"/>
  <c r="R77" i="10"/>
  <c r="S77" i="10"/>
  <c r="T77" i="10"/>
  <c r="U77" i="10"/>
  <c r="V77" i="10"/>
  <c r="R78" i="10"/>
  <c r="S78" i="10"/>
  <c r="T78" i="10"/>
  <c r="U78" i="10"/>
  <c r="V78" i="10"/>
  <c r="R79" i="10"/>
  <c r="S79" i="10"/>
  <c r="T79" i="10"/>
  <c r="U79" i="10"/>
  <c r="V79" i="10"/>
  <c r="R80" i="10"/>
  <c r="S80" i="10"/>
  <c r="T80" i="10"/>
  <c r="U80" i="10"/>
  <c r="V80" i="10"/>
  <c r="R81" i="10"/>
  <c r="S81" i="10"/>
  <c r="T81" i="10"/>
  <c r="U81" i="10"/>
  <c r="V81" i="10"/>
  <c r="R82" i="10"/>
  <c r="S82" i="10"/>
  <c r="T82" i="10"/>
  <c r="U82" i="10"/>
  <c r="V82" i="10"/>
  <c r="R83" i="10"/>
  <c r="S83" i="10"/>
  <c r="T83" i="10"/>
  <c r="U83" i="10"/>
  <c r="V83" i="10"/>
  <c r="R84" i="10"/>
  <c r="S84" i="10"/>
  <c r="T84" i="10"/>
  <c r="U84" i="10"/>
  <c r="V84" i="10"/>
  <c r="R85" i="10"/>
  <c r="S85" i="10"/>
  <c r="T85" i="10"/>
  <c r="U85" i="10"/>
  <c r="V85" i="10"/>
  <c r="R86" i="10"/>
  <c r="S86" i="10"/>
  <c r="T86" i="10"/>
  <c r="U86" i="10"/>
  <c r="V86" i="10"/>
  <c r="R87" i="10"/>
  <c r="S87" i="10"/>
  <c r="T87" i="10"/>
  <c r="U87" i="10"/>
  <c r="V87" i="10"/>
  <c r="R88" i="10"/>
  <c r="S88" i="10"/>
  <c r="T88" i="10"/>
  <c r="U88" i="10"/>
  <c r="V88" i="10"/>
  <c r="R89" i="10"/>
  <c r="S89" i="10"/>
  <c r="T89" i="10"/>
  <c r="U89" i="10"/>
  <c r="V89" i="10"/>
  <c r="R90" i="10"/>
  <c r="S90" i="10"/>
  <c r="T90" i="10"/>
  <c r="U90" i="10"/>
  <c r="V90" i="10"/>
  <c r="R91" i="10"/>
  <c r="S91" i="10"/>
  <c r="T91" i="10"/>
  <c r="U91" i="10"/>
  <c r="V91" i="10"/>
  <c r="R92" i="10"/>
  <c r="S92" i="10"/>
  <c r="T92" i="10"/>
  <c r="U92" i="10"/>
  <c r="V92" i="10"/>
  <c r="R93" i="10"/>
  <c r="S93" i="10"/>
  <c r="T93" i="10"/>
  <c r="U93" i="10"/>
  <c r="V93" i="10"/>
  <c r="R94" i="10"/>
  <c r="S94" i="10"/>
  <c r="T94" i="10"/>
  <c r="U94" i="10"/>
  <c r="V94" i="10"/>
  <c r="V35" i="10"/>
  <c r="U35" i="10"/>
  <c r="T35" i="10"/>
  <c r="S35" i="10"/>
  <c r="R35" i="10"/>
  <c r="V36" i="10"/>
  <c r="O55" i="23"/>
  <c r="O58" i="23" s="1"/>
  <c r="M55" i="23"/>
  <c r="M58" i="23" s="1"/>
  <c r="K55" i="23"/>
  <c r="K58" i="23" s="1"/>
  <c r="P58" i="23"/>
  <c r="N58" i="23"/>
  <c r="L58" i="23"/>
  <c r="J58" i="23"/>
  <c r="P55" i="23"/>
  <c r="N55" i="23"/>
  <c r="L55" i="23"/>
  <c r="J55" i="23"/>
  <c r="M41" i="23"/>
  <c r="O50" i="23"/>
  <c r="O53" i="23" s="1"/>
  <c r="M50" i="23"/>
  <c r="M32" i="23" s="1"/>
  <c r="K50" i="23"/>
  <c r="P53" i="23"/>
  <c r="N53" i="23"/>
  <c r="L53" i="23"/>
  <c r="J53" i="23"/>
  <c r="P50" i="23"/>
  <c r="N50" i="23"/>
  <c r="L50" i="23"/>
  <c r="J50" i="23"/>
  <c r="O45" i="23"/>
  <c r="O48" i="23" s="1"/>
  <c r="M45" i="23"/>
  <c r="M48" i="23" s="1"/>
  <c r="K45" i="23"/>
  <c r="K48" i="23" s="1"/>
  <c r="P48" i="23"/>
  <c r="N48" i="23"/>
  <c r="L48" i="23"/>
  <c r="J48" i="23"/>
  <c r="P45" i="23"/>
  <c r="N45" i="23"/>
  <c r="L45" i="23"/>
  <c r="J45" i="23"/>
  <c r="P43" i="23"/>
  <c r="P42" i="23"/>
  <c r="P41" i="23"/>
  <c r="N43" i="23"/>
  <c r="N42" i="23"/>
  <c r="N41" i="23"/>
  <c r="O38" i="23"/>
  <c r="O37" i="23"/>
  <c r="O33" i="23" s="1"/>
  <c r="O36" i="23"/>
  <c r="M38" i="23"/>
  <c r="M37" i="23"/>
  <c r="M33" i="23" s="1"/>
  <c r="K38" i="23"/>
  <c r="K37" i="23"/>
  <c r="K33" i="23" s="1"/>
  <c r="K36" i="23"/>
  <c r="P38" i="23"/>
  <c r="P37" i="23"/>
  <c r="P36" i="23"/>
  <c r="N38" i="23"/>
  <c r="N37" i="23"/>
  <c r="N36" i="23"/>
  <c r="L43" i="23"/>
  <c r="J43" i="23"/>
  <c r="L42" i="23"/>
  <c r="J42" i="23"/>
  <c r="L41" i="23"/>
  <c r="J41" i="23"/>
  <c r="L38" i="23"/>
  <c r="J38" i="23"/>
  <c r="L37" i="23"/>
  <c r="J37" i="23"/>
  <c r="L36" i="23"/>
  <c r="J36" i="23"/>
  <c r="P34" i="23"/>
  <c r="P33" i="23"/>
  <c r="P32" i="23"/>
  <c r="B44" i="23"/>
  <c r="C44" i="23"/>
  <c r="D44" i="23"/>
  <c r="E44" i="23"/>
  <c r="F44" i="23"/>
  <c r="G44" i="23" a="1"/>
  <c r="G44" i="23" s="1"/>
  <c r="H44" i="23" a="1"/>
  <c r="H44" i="23" s="1"/>
  <c r="B49" i="23"/>
  <c r="C49" i="23"/>
  <c r="D49" i="23"/>
  <c r="E49" i="23"/>
  <c r="F49" i="23"/>
  <c r="G49" i="23" a="1"/>
  <c r="G49" i="23" s="1"/>
  <c r="H49" i="23" a="1"/>
  <c r="H49" i="23" s="1"/>
  <c r="B54" i="23"/>
  <c r="C54" i="23"/>
  <c r="D54" i="23"/>
  <c r="E54" i="23"/>
  <c r="F54" i="23"/>
  <c r="G54" i="23" a="1"/>
  <c r="G54" i="23" s="1"/>
  <c r="H54" i="23" a="1"/>
  <c r="H54" i="23" s="1"/>
  <c r="B59" i="23"/>
  <c r="C59" i="23"/>
  <c r="D59" i="23"/>
  <c r="E59" i="23"/>
  <c r="F59" i="23"/>
  <c r="G59" i="23" a="1"/>
  <c r="G59" i="23" s="1"/>
  <c r="H59" i="23" a="1"/>
  <c r="H59" i="23" s="1"/>
  <c r="B64" i="23"/>
  <c r="C64" i="23"/>
  <c r="D64" i="23"/>
  <c r="E64" i="23"/>
  <c r="F64" i="23"/>
  <c r="G64" i="23" a="1"/>
  <c r="G64" i="23" s="1"/>
  <c r="H64" i="23" a="1"/>
  <c r="H64" i="23" s="1"/>
  <c r="B69" i="23"/>
  <c r="C69" i="23"/>
  <c r="D69" i="23"/>
  <c r="E69" i="23"/>
  <c r="F69" i="23"/>
  <c r="G69" i="23" a="1"/>
  <c r="G69" i="23" s="1"/>
  <c r="H69" i="23" a="1"/>
  <c r="H69" i="23" s="1"/>
  <c r="B74" i="23"/>
  <c r="C74" i="23"/>
  <c r="D74" i="23"/>
  <c r="E74" i="23"/>
  <c r="F74" i="23"/>
  <c r="G74" i="23" a="1"/>
  <c r="G74" i="23" s="1"/>
  <c r="H74" i="23" a="1"/>
  <c r="H74" i="23" s="1"/>
  <c r="B79" i="23"/>
  <c r="C79" i="23"/>
  <c r="D79" i="23"/>
  <c r="E79" i="23"/>
  <c r="F79" i="23"/>
  <c r="G79" i="23" a="1"/>
  <c r="G79" i="23" s="1"/>
  <c r="H79" i="23" a="1"/>
  <c r="H79" i="23" s="1"/>
  <c r="B84" i="23"/>
  <c r="C84" i="23"/>
  <c r="D84" i="23"/>
  <c r="E84" i="23"/>
  <c r="F84" i="23"/>
  <c r="G84" i="23" a="1"/>
  <c r="G84" i="23" s="1"/>
  <c r="H84" i="23" a="1"/>
  <c r="H84" i="23" s="1"/>
  <c r="B89" i="23"/>
  <c r="C89" i="23"/>
  <c r="D89" i="23"/>
  <c r="E89" i="23"/>
  <c r="F89" i="23"/>
  <c r="G89" i="23" a="1"/>
  <c r="G89" i="23" s="1"/>
  <c r="H89" i="23" a="1"/>
  <c r="H89" i="23" s="1"/>
  <c r="B94" i="23"/>
  <c r="C94" i="23"/>
  <c r="D94" i="23"/>
  <c r="E94" i="23"/>
  <c r="F94" i="23"/>
  <c r="G94" i="23" a="1"/>
  <c r="G94" i="23" s="1"/>
  <c r="H94" i="23" a="1"/>
  <c r="H94" i="23" s="1"/>
  <c r="B101" i="23"/>
  <c r="C101" i="23"/>
  <c r="D101" i="23"/>
  <c r="E101" i="23"/>
  <c r="F101" i="23"/>
  <c r="G101" i="23" a="1"/>
  <c r="G101" i="23" s="1"/>
  <c r="H101" i="23" a="1"/>
  <c r="H101" i="23" s="1"/>
  <c r="B106" i="23"/>
  <c r="C106" i="23"/>
  <c r="D106" i="23"/>
  <c r="E106" i="23"/>
  <c r="F106" i="23"/>
  <c r="G106" i="23" a="1"/>
  <c r="G106" i="23" s="1"/>
  <c r="H106" i="23" a="1"/>
  <c r="H106" i="23" s="1"/>
  <c r="B111" i="23"/>
  <c r="C111" i="23"/>
  <c r="D111" i="23"/>
  <c r="E111" i="23"/>
  <c r="F111" i="23"/>
  <c r="G111" i="23" a="1"/>
  <c r="G111" i="23" s="1"/>
  <c r="H111" i="23" a="1"/>
  <c r="H111" i="23" s="1"/>
  <c r="B116" i="23"/>
  <c r="C116" i="23"/>
  <c r="D116" i="23"/>
  <c r="E116" i="23"/>
  <c r="F116" i="23"/>
  <c r="G116" i="23" a="1"/>
  <c r="G116" i="23" s="1"/>
  <c r="H116" i="23" a="1"/>
  <c r="H116" i="23" s="1"/>
  <c r="B121" i="23"/>
  <c r="C121" i="23"/>
  <c r="D121" i="23"/>
  <c r="E121" i="23"/>
  <c r="F121" i="23"/>
  <c r="G121" i="23" a="1"/>
  <c r="G121" i="23" s="1"/>
  <c r="H121" i="23" a="1"/>
  <c r="H121" i="23" s="1"/>
  <c r="B128" i="23"/>
  <c r="C128" i="23"/>
  <c r="D128" i="23"/>
  <c r="E128" i="23"/>
  <c r="F128" i="23"/>
  <c r="G128" i="23" a="1"/>
  <c r="G128" i="23" s="1"/>
  <c r="H128" i="23" a="1"/>
  <c r="H128" i="23" s="1"/>
  <c r="B133" i="23"/>
  <c r="C133" i="23"/>
  <c r="D133" i="23"/>
  <c r="E133" i="23"/>
  <c r="F133" i="23"/>
  <c r="G133" i="23" a="1"/>
  <c r="G133" i="23" s="1"/>
  <c r="H133" i="23" a="1"/>
  <c r="H133" i="23" s="1"/>
  <c r="B138" i="23"/>
  <c r="C138" i="23"/>
  <c r="D138" i="23"/>
  <c r="E138" i="23"/>
  <c r="F138" i="23"/>
  <c r="G138" i="23" a="1"/>
  <c r="G138" i="23" s="1"/>
  <c r="H138" i="23" a="1"/>
  <c r="H138" i="23" s="1"/>
  <c r="B143" i="23"/>
  <c r="C143" i="23"/>
  <c r="D143" i="23"/>
  <c r="E143" i="23"/>
  <c r="F143" i="23"/>
  <c r="G143" i="23" a="1"/>
  <c r="G143" i="23" s="1"/>
  <c r="H143" i="23" a="1"/>
  <c r="H143" i="23" s="1"/>
  <c r="B148" i="23"/>
  <c r="C148" i="23"/>
  <c r="D148" i="23"/>
  <c r="E148" i="23"/>
  <c r="F148" i="23"/>
  <c r="G148" i="23" a="1"/>
  <c r="G148" i="23" s="1"/>
  <c r="H148" i="23" a="1"/>
  <c r="H148" i="23" s="1"/>
  <c r="B153" i="23"/>
  <c r="C153" i="23"/>
  <c r="D153" i="23"/>
  <c r="E153" i="23"/>
  <c r="F153" i="23"/>
  <c r="G153" i="23" a="1"/>
  <c r="G153" i="23" s="1"/>
  <c r="H153" i="23" a="1"/>
  <c r="H153" i="23" s="1"/>
  <c r="B158" i="23"/>
  <c r="C158" i="23"/>
  <c r="D158" i="23"/>
  <c r="E158" i="23"/>
  <c r="F158" i="23"/>
  <c r="G158" i="23" a="1"/>
  <c r="G158" i="23" s="1"/>
  <c r="H158" i="23" a="1"/>
  <c r="H158" i="23" s="1"/>
  <c r="B163" i="23"/>
  <c r="C163" i="23"/>
  <c r="D163" i="23"/>
  <c r="E163" i="23"/>
  <c r="F163" i="23"/>
  <c r="G163" i="23" a="1"/>
  <c r="G163" i="23" s="1"/>
  <c r="H163" i="23" a="1"/>
  <c r="H163" i="23" s="1"/>
  <c r="B168" i="23"/>
  <c r="C168" i="23"/>
  <c r="D168" i="23"/>
  <c r="E168" i="23"/>
  <c r="F168" i="23"/>
  <c r="G168" i="23" a="1"/>
  <c r="G168" i="23" s="1"/>
  <c r="H168" i="23" a="1"/>
  <c r="H168" i="23" s="1"/>
  <c r="B173" i="23"/>
  <c r="C173" i="23"/>
  <c r="D173" i="23"/>
  <c r="E173" i="23"/>
  <c r="F173" i="23"/>
  <c r="G173" i="23" a="1"/>
  <c r="G173" i="23" s="1"/>
  <c r="H173" i="23" a="1"/>
  <c r="H173" i="23" s="1"/>
  <c r="B178" i="23"/>
  <c r="C178" i="23"/>
  <c r="D178" i="23"/>
  <c r="E178" i="23"/>
  <c r="F178" i="23"/>
  <c r="G178" i="23" a="1"/>
  <c r="G178" i="23" s="1"/>
  <c r="H178" i="23" a="1"/>
  <c r="H178" i="23" s="1"/>
  <c r="B183" i="23"/>
  <c r="C183" i="23"/>
  <c r="D183" i="23"/>
  <c r="E183" i="23"/>
  <c r="F183" i="23"/>
  <c r="G183" i="23" a="1"/>
  <c r="G183" i="23" s="1"/>
  <c r="H183" i="23" a="1"/>
  <c r="H183" i="23" s="1"/>
  <c r="B188" i="23"/>
  <c r="C188" i="23"/>
  <c r="D188" i="23"/>
  <c r="E188" i="23"/>
  <c r="F188" i="23"/>
  <c r="G188" i="23" a="1"/>
  <c r="G188" i="23" s="1"/>
  <c r="H188" i="23" a="1"/>
  <c r="H188" i="23" s="1"/>
  <c r="B193" i="23"/>
  <c r="C193" i="23"/>
  <c r="D193" i="23"/>
  <c r="E193" i="23"/>
  <c r="F193" i="23"/>
  <c r="G193" i="23" a="1"/>
  <c r="G193" i="23" s="1"/>
  <c r="H193" i="23" a="1"/>
  <c r="H193" i="23" s="1"/>
  <c r="B198" i="23"/>
  <c r="C198" i="23"/>
  <c r="D198" i="23"/>
  <c r="E198" i="23"/>
  <c r="F198" i="23"/>
  <c r="G198" i="23" a="1"/>
  <c r="G198" i="23" s="1"/>
  <c r="H198" i="23" a="1"/>
  <c r="H198" i="23" s="1"/>
  <c r="B203" i="23"/>
  <c r="C203" i="23"/>
  <c r="D203" i="23"/>
  <c r="E203" i="23"/>
  <c r="F203" i="23"/>
  <c r="G203" i="23" a="1"/>
  <c r="G203" i="23" s="1"/>
  <c r="H203" i="23" a="1"/>
  <c r="H203" i="23" s="1"/>
  <c r="B208" i="23"/>
  <c r="C208" i="23"/>
  <c r="D208" i="23"/>
  <c r="E208" i="23"/>
  <c r="F208" i="23"/>
  <c r="G208" i="23" a="1"/>
  <c r="G208" i="23" s="1"/>
  <c r="H208" i="23" a="1"/>
  <c r="H208" i="23" s="1"/>
  <c r="B213" i="23"/>
  <c r="C213" i="23"/>
  <c r="D213" i="23"/>
  <c r="E213" i="23"/>
  <c r="F213" i="23"/>
  <c r="G213" i="23" a="1"/>
  <c r="G213" i="23" s="1"/>
  <c r="H213" i="23" a="1"/>
  <c r="H213" i="23" s="1"/>
  <c r="B35" i="23"/>
  <c r="R36" i="10"/>
  <c r="S36" i="10"/>
  <c r="T36" i="10"/>
  <c r="U36" i="10"/>
  <c r="H35" i="23" a="1"/>
  <c r="H35" i="23" s="1"/>
  <c r="F35" i="23"/>
  <c r="D35" i="23"/>
  <c r="C35" i="23"/>
  <c r="N34" i="23"/>
  <c r="L34" i="23"/>
  <c r="J34" i="23"/>
  <c r="N33" i="23"/>
  <c r="L33" i="23"/>
  <c r="J33" i="23"/>
  <c r="N32" i="23"/>
  <c r="L32" i="23"/>
  <c r="J32" i="23"/>
  <c r="C19" i="22"/>
  <c r="D19" i="22"/>
  <c r="E19" i="22"/>
  <c r="F19" i="22"/>
  <c r="G19" i="22"/>
  <c r="H19" i="22"/>
  <c r="I19" i="22"/>
  <c r="C16" i="22"/>
  <c r="D16" i="22"/>
  <c r="E16" i="22"/>
  <c r="F16" i="22"/>
  <c r="G16" i="22"/>
  <c r="H16" i="22"/>
  <c r="I16" i="22"/>
  <c r="B16" i="22"/>
  <c r="C13" i="22"/>
  <c r="D13" i="22"/>
  <c r="E13" i="22"/>
  <c r="F13" i="22"/>
  <c r="G13" i="22"/>
  <c r="H13" i="22"/>
  <c r="I13" i="22"/>
  <c r="B13" i="22"/>
  <c r="M34" i="23" l="1"/>
  <c r="O32" i="23"/>
  <c r="O34" i="23"/>
  <c r="K32" i="23"/>
  <c r="K34" i="23"/>
  <c r="D11" i="10"/>
  <c r="C11" i="10"/>
  <c r="E11" i="10"/>
  <c r="Q41" i="10"/>
  <c r="C9" i="24"/>
  <c r="B9" i="24" s="1"/>
  <c r="Q52" i="10"/>
  <c r="Q85" i="10"/>
  <c r="Q77" i="10"/>
  <c r="Q67" i="10"/>
  <c r="Q36" i="10"/>
  <c r="Q46" i="10"/>
  <c r="Q53" i="10"/>
  <c r="Q42" i="10"/>
  <c r="Q47" i="10"/>
  <c r="Q40" i="10"/>
  <c r="Q58" i="10"/>
  <c r="Q35" i="10"/>
  <c r="Q37" i="10"/>
  <c r="Q87" i="10"/>
  <c r="Q79" i="10"/>
  <c r="Q69" i="10"/>
  <c r="Q64" i="10"/>
  <c r="Q93" i="10"/>
  <c r="Q92" i="10"/>
  <c r="Q84" i="10"/>
  <c r="Q76" i="10"/>
  <c r="Q66" i="10"/>
  <c r="Q90" i="10"/>
  <c r="Q82" i="10"/>
  <c r="Q74" i="10"/>
  <c r="Q88" i="10"/>
  <c r="Q80" i="10"/>
  <c r="Q91" i="10"/>
  <c r="Q83" i="10"/>
  <c r="Q75" i="10"/>
  <c r="Q94" i="10"/>
  <c r="Q86" i="10"/>
  <c r="Q78" i="10"/>
  <c r="Q68" i="10"/>
  <c r="Q63" i="10"/>
  <c r="Q89" i="10"/>
  <c r="Q81" i="10"/>
  <c r="Q73" i="10"/>
  <c r="C8" i="24"/>
  <c r="B8" i="24" s="1"/>
  <c r="P65" i="24"/>
  <c r="D12" i="24"/>
  <c r="E10" i="10"/>
  <c r="O42" i="23"/>
  <c r="M42" i="23"/>
  <c r="M43" i="23"/>
  <c r="M47" i="23"/>
  <c r="O41" i="23"/>
  <c r="K42" i="23"/>
  <c r="K43" i="23"/>
  <c r="I38" i="23"/>
  <c r="B7" i="24"/>
  <c r="C13" i="24"/>
  <c r="C14" i="24"/>
  <c r="B14" i="24" s="1"/>
  <c r="C6" i="24"/>
  <c r="C10" i="24"/>
  <c r="K44" i="23"/>
  <c r="M49" i="23"/>
  <c r="O44" i="23"/>
  <c r="I55" i="23"/>
  <c r="I58" i="23"/>
  <c r="K57" i="23"/>
  <c r="K54" i="23"/>
  <c r="I50" i="23"/>
  <c r="M53" i="23"/>
  <c r="M52" i="23" s="1"/>
  <c r="K53" i="23"/>
  <c r="O49" i="23"/>
  <c r="K49" i="23"/>
  <c r="I36" i="23"/>
  <c r="K41" i="23"/>
  <c r="I45" i="23"/>
  <c r="I48" i="23"/>
  <c r="M44" i="23"/>
  <c r="K35" i="23"/>
  <c r="O35" i="23"/>
  <c r="I37" i="23"/>
  <c r="I33" i="23" s="1"/>
  <c r="O43" i="23"/>
  <c r="M35" i="23"/>
  <c r="I32" i="23" l="1"/>
  <c r="B11" i="10"/>
  <c r="I42" i="23"/>
  <c r="C5" i="24"/>
  <c r="D5" i="24"/>
  <c r="M40" i="23"/>
  <c r="I43" i="23"/>
  <c r="I41" i="23"/>
  <c r="I35" i="23"/>
  <c r="B10" i="24"/>
  <c r="K31" i="23"/>
  <c r="B6" i="24"/>
  <c r="B13" i="24"/>
  <c r="C12" i="24"/>
  <c r="B12" i="24" s="1"/>
  <c r="O47" i="23"/>
  <c r="K40" i="23"/>
  <c r="O52" i="23"/>
  <c r="O40" i="23"/>
  <c r="I49" i="23"/>
  <c r="K52" i="23"/>
  <c r="I53" i="23"/>
  <c r="I52" i="23" s="1"/>
  <c r="I44" i="23"/>
  <c r="K47" i="23"/>
  <c r="I47" i="23"/>
  <c r="S43" i="10"/>
  <c r="T43" i="10"/>
  <c r="U43" i="10"/>
  <c r="V43" i="10"/>
  <c r="V55" i="10"/>
  <c r="Q55" i="10" s="1"/>
  <c r="T62" i="10"/>
  <c r="U62" i="10"/>
  <c r="V62" i="10"/>
  <c r="S62" i="10"/>
  <c r="S60" i="10"/>
  <c r="T60" i="10"/>
  <c r="U60" i="10"/>
  <c r="V60" i="10"/>
  <c r="S48" i="10"/>
  <c r="S54" i="10"/>
  <c r="D8" i="10"/>
  <c r="S71" i="10"/>
  <c r="R70" i="10"/>
  <c r="R71" i="10"/>
  <c r="V50" i="10"/>
  <c r="T54" i="10"/>
  <c r="U54" i="10"/>
  <c r="V54" i="10"/>
  <c r="T48" i="10"/>
  <c r="U48" i="10"/>
  <c r="V48" i="10"/>
  <c r="V70" i="10"/>
  <c r="T71" i="10"/>
  <c r="E7" i="10" s="1"/>
  <c r="U71" i="10"/>
  <c r="V71" i="10"/>
  <c r="D9" i="10"/>
  <c r="C9" i="10"/>
  <c r="R48" i="10"/>
  <c r="T70" i="10"/>
  <c r="T59" i="10"/>
  <c r="T61" i="10"/>
  <c r="S70" i="10"/>
  <c r="R57" i="10"/>
  <c r="R59" i="10"/>
  <c r="S61" i="10"/>
  <c r="R61" i="10"/>
  <c r="S57" i="10"/>
  <c r="V44" i="10"/>
  <c r="Q44" i="10" s="1"/>
  <c r="U39" i="10"/>
  <c r="Q39" i="10" s="1"/>
  <c r="V51" i="10"/>
  <c r="Q51" i="10" s="1"/>
  <c r="S59" i="10"/>
  <c r="T45" i="10"/>
  <c r="U38" i="10"/>
  <c r="R50" i="10"/>
  <c r="U59" i="10"/>
  <c r="Q48" i="10" l="1"/>
  <c r="Q62" i="10"/>
  <c r="B5" i="24"/>
  <c r="D4" i="24"/>
  <c r="Q71" i="10"/>
  <c r="D13" i="10"/>
  <c r="I40" i="23"/>
  <c r="R65" i="10"/>
  <c r="Q65" i="10" s="1"/>
  <c r="K68" i="23"/>
  <c r="I68" i="23" s="1"/>
  <c r="I65" i="23"/>
  <c r="I34" i="23" s="1"/>
  <c r="I31" i="23" s="1"/>
  <c r="R49" i="10"/>
  <c r="Q49" i="10" s="1"/>
  <c r="C4" i="24"/>
  <c r="O31" i="23"/>
  <c r="T38" i="10"/>
  <c r="M31" i="23"/>
  <c r="S38" i="10"/>
  <c r="D7" i="10"/>
  <c r="D10" i="10"/>
  <c r="B9" i="10"/>
  <c r="C8" i="10"/>
  <c r="B8" i="10" s="1"/>
  <c r="R54" i="10"/>
  <c r="Q54" i="10" s="1"/>
  <c r="J4" i="10" s="1"/>
  <c r="U70" i="10"/>
  <c r="Q70" i="10" s="1"/>
  <c r="C7" i="10"/>
  <c r="Q38" i="10" l="1"/>
  <c r="B4" i="24"/>
  <c r="C10" i="10"/>
  <c r="B10" i="10" s="1"/>
  <c r="B7" i="10"/>
  <c r="I69" i="23"/>
  <c r="K69" i="23"/>
  <c r="M54" i="23"/>
  <c r="O54" i="23"/>
  <c r="O57" i="23"/>
  <c r="S50" i="10"/>
  <c r="R43" i="10"/>
  <c r="Q43" i="10" s="1"/>
  <c r="R60" i="10"/>
  <c r="Q60" i="10" s="1"/>
  <c r="R45" i="10"/>
  <c r="C13" i="10" l="1"/>
  <c r="I54" i="23"/>
  <c r="I72" i="23"/>
  <c r="K72" i="23"/>
  <c r="M57" i="23"/>
  <c r="I57" i="23"/>
  <c r="T57" i="10"/>
  <c r="E13" i="10" s="1"/>
  <c r="V61" i="10"/>
  <c r="S45" i="10"/>
  <c r="D6" i="10" s="1"/>
  <c r="D5" i="10" s="1"/>
  <c r="U61" i="10"/>
  <c r="T50" i="10"/>
  <c r="E14" i="10" s="1"/>
  <c r="V59" i="10"/>
  <c r="Q59" i="10" s="1"/>
  <c r="B13" i="10" l="1"/>
  <c r="E6" i="10"/>
  <c r="E5" i="10" s="1"/>
  <c r="Q61" i="10"/>
  <c r="E12" i="10"/>
  <c r="U45" i="10"/>
  <c r="D14" i="10"/>
  <c r="D12" i="10" s="1"/>
  <c r="D4" i="10" s="1"/>
  <c r="U57" i="10"/>
  <c r="U50" i="10"/>
  <c r="Q50" i="10" s="1"/>
  <c r="V45" i="10"/>
  <c r="Q45" i="10" l="1"/>
  <c r="E4" i="10"/>
  <c r="R56" i="10"/>
  <c r="Q56" i="10" s="1"/>
  <c r="C14" i="10"/>
  <c r="B14" i="10" s="1"/>
  <c r="V57" i="10"/>
  <c r="Q57" i="10" s="1"/>
  <c r="K4" i="10" s="1"/>
  <c r="C6" i="10"/>
  <c r="H4" i="10" l="1"/>
  <c r="I4" i="10"/>
  <c r="B6" i="10"/>
  <c r="C5" i="10"/>
  <c r="B5" i="10" s="1"/>
  <c r="K64" i="23"/>
  <c r="C12" i="10"/>
  <c r="B12" i="10" s="1"/>
  <c r="I64" i="23" l="1"/>
  <c r="I67" i="23"/>
  <c r="K67" i="23"/>
  <c r="G4" i="10"/>
  <c r="C4" i="10"/>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tc={D3A007BB-03B3-4D8C-8058-0B1FF7280C2E}</author>
    <author>tc={F7E993E5-F05F-4E39-ADE9-CC83E87635EA}</author>
  </authors>
  <commentList>
    <comment ref="C46" authorId="0" shapeId="0" xr:uid="{D3A007BB-03B3-4D8C-8058-0B1FF7280C2E}">
      <text>
        <t>[Lõimkommentaar]
Teie Exceli versioon võimaldab teil seda lõimkommentaari lugeda, ent kõik sellesse tehtud muudatused eemaldatakse, kui fail avatakse Exceli uuemas versioonis. Lisateavet leiate siit: https://go.microsoft.com/fwlink/?linkid=870924.
Kommentaar:
    +km</t>
      </text>
    </comment>
    <comment ref="C53" authorId="1" shapeId="0" xr:uid="{F7E993E5-F05F-4E39-ADE9-CC83E87635EA}">
      <text>
        <t>[Lõimkommentaar]
Teie Exceli versioon võimaldab teil seda lõimkommentaari lugeda, ent kõik sellesse tehtud muudatused eemaldatakse, kui fail avatakse Exceli uuemas versioonis. Lisateavet leiate siit: https://go.microsoft.com/fwlink/?linkid=870924.
Kommentaar:
    Puuduvad andmed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<sst xmlns="http://schemas.openxmlformats.org/spreadsheetml/2006/main" count="3162" uniqueCount="677">
  <si>
    <t>Valdkondlik digipööre</t>
  </si>
  <si>
    <t xml:space="preserve">Elluviija: </t>
  </si>
  <si>
    <t xml:space="preserve">Kultuuriministeerium </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</si>
  <si>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</si>
  <si>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</si>
  <si>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</si>
  <si>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</si>
  <si>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</si>
  <si>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</si>
  <si>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</si>
  <si>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</si>
  <si>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</si>
  <si>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</si>
  <si>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</si>
  <si>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</si>
  <si>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</si>
  <si>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</si>
  <si>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</si>
  <si>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</si>
  <si>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</si>
  <si>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</si>
  <si>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</si>
  <si>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</si>
  <si>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</si>
  <si>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</si>
  <si>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</si>
  <si>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</si>
  <si>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</si>
  <si>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</si>
  <si>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</si>
  <si>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</si>
  <si>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</si>
  <si>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</si>
  <si>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</si>
  <si>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</si>
  <si>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</si>
  <si>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</si>
  <si>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</si>
  <si>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</si>
  <si>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</si>
  <si>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</si>
  <si>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</si>
  <si>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</si>
  <si>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</si>
  <si>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</si>
  <si>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</si>
  <si>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</si>
  <si>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</si>
  <si>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</si>
  <si>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</si>
  <si>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</si>
  <si>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</si>
  <si>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</si>
  <si>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</si>
  <si>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</si>
  <si>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</si>
  <si>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</si>
  <si>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</si>
  <si>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</si>
  <si>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</si>
  <si>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</si>
  <si>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</si>
  <si>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</si>
  <si>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Otsus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</si>
  <si>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</si>
  <si>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</si>
  <si>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</si>
  <si>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</si>
  <si>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</si>
  <si>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</si>
  <si>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t xml:space="preserve">Kalkulatsioon ja  allika põhjendus
</t>
    </r>
    <r>
      <rPr>
        <sz val="11"/>
        <color theme="1"/>
        <rFont val="Calibri"/>
        <family val="2"/>
        <charset val="186"/>
        <scheme val="minor"/>
      </rPr>
      <t>Võimalusel kirjeldada siin lahtris, kui on põhjalikum tabeli kujul kalkulatsioon, siis see tuua välja eraldi Exceli lehel ja siin vastava rea lahtris sellele viidata.</t>
    </r>
  </si>
  <si>
    <t>Tegevuse jätkusuutlikkuse kulu</t>
  </si>
  <si>
    <t>Kommentaar</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</si>
  <si>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</si>
  <si>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</si>
  <si>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</si>
  <si>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</si>
  <si>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</si>
  <si>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</si>
  <si>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</si>
  <si>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</si>
  <si>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</si>
  <si>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</si>
  <si>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</si>
  <si>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</si>
  <si>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ok- rahastada, nok- mitte rahastada, ?-otsus lahtine</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</si>
  <si>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</si>
  <si>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</si>
  <si>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</si>
  <si>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</si>
  <si>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</si>
  <si>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</si>
  <si>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</si>
  <si>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</si>
  <si>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</si>
  <si>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t>
    </r>
    <r>
      <rPr>
        <i/>
        <sz val="11"/>
        <rFont val="Calibri"/>
        <family val="2"/>
        <charset val="186"/>
      </rPr>
      <t xml:space="preserve">ga mis peab minema baasi, või on tegemist </t>
    </r>
    <r>
      <rPr>
        <b/>
        <i/>
        <sz val="11"/>
        <rFont val="Calibri"/>
        <family val="2"/>
        <charset val="186"/>
      </rPr>
      <t>ühekordse kul</t>
    </r>
    <r>
      <rPr>
        <i/>
        <sz val="11"/>
        <rFont val="Calibri"/>
        <family val="2"/>
        <charset val="186"/>
      </rPr>
      <t>uga konkrteetse(te)l aasta(te)l.</t>
    </r>
  </si>
  <si>
    <t>KuM</t>
  </si>
  <si>
    <t>KMO</t>
  </si>
  <si>
    <t>Majandus- ja Kommunkatsiooniministeerium</t>
  </si>
  <si>
    <t>KuM KMO</t>
  </si>
  <si>
    <t>I: Digiriik</t>
  </si>
  <si>
    <t>1.1.1. Üleminek sündmuspõhistele ja proaktiivsetele teenustele</t>
  </si>
  <si>
    <t>I: Infotehnoloogiliste lahenduste väljatöötamine ja arendamine</t>
  </si>
  <si>
    <t>Lõimumis-, sh kohanemispoliitika kujundamine</t>
  </si>
  <si>
    <t>Uussisserändajad ei ole teadlikud oma kohustustest ega õigustest</t>
  </si>
  <si>
    <t>Sündmusteenus "Eestis kohanemine" arendus - planeerimise etapp</t>
  </si>
  <si>
    <t xml:space="preserve">Uussisserändajate kohanemiseks vajalikud osateenused on toodud kokku üheks tervikuks ning uussisserändajad on teadlikud, kuidas ja millal neile suunatuid teenused kasutada; 2023. aastal I etapp lives,  2024 II etapp - kaardistada ja resurssid planeerida, et tuua sisse proaktiivsust ja personaliseeritust ja proaktiivsust. </t>
  </si>
  <si>
    <t>Arvestatud projekijuhi potentsiaalne töömaht, kuna tegemist on esialgu infoteenusega</t>
  </si>
  <si>
    <t>1. Tegevus sisaldab jätkusuutlikkuse kulusid ja need on samal real välja toodud.</t>
  </si>
  <si>
    <t>Kultuuriministeerium</t>
  </si>
  <si>
    <t>KuM haldusala</t>
  </si>
  <si>
    <t>1.2.4. Keskselt osutatud IT-alusteenused</t>
  </si>
  <si>
    <t>IV: muu digipöördega seotud otsene kulu</t>
  </si>
  <si>
    <t>Kultuuri valdkondadeülene tugi- ja arendustegevus</t>
  </si>
  <si>
    <t xml:space="preserve">Analüüsi peamiseks eesmärgiks on hinnata praegust toimemudelit ning välja tuua parendusettepanekud IKT valdkonna kulu-efektiivsemaks ja  tõhusamaks korraldamiseks. </t>
  </si>
  <si>
    <t>KuM valitsemisala IKT valdkonna toimemudeli analüüs</t>
  </si>
  <si>
    <t xml:space="preserve">Analüüsi tulemina on  parendusettepanekud IKT valdkonna kulu-efektiivsemaks ja  tõhusamaks korraldamiseks. </t>
  </si>
  <si>
    <t>Ei taotle rahastust</t>
  </si>
  <si>
    <t>Baaseelarve</t>
  </si>
  <si>
    <t>Analüüsi ei hangita väljast sisse, vaid viiakse läbi tähtajalise ärianalüütiku abiga.</t>
  </si>
  <si>
    <t>Eesti Rahvusraamatukogu</t>
  </si>
  <si>
    <t>RaRa</t>
  </si>
  <si>
    <t>1.1.2. Krativäeline riik</t>
  </si>
  <si>
    <t>Raamatukogupoliitika rakendamine</t>
  </si>
  <si>
    <t xml:space="preserve">Digitaalsete väljaannete kirjeldamine tuleb automatiseerida, hoidmaks kokku aega ja vähendamaks tööjõukulusid, tõstmaks andmekvaliteeti,  rikastamaks andmeid, ning parandamaks ja laiendamaks otsinguvõimalusi. Käsitsi tehtava tööna pole enam võimalik kirjeldada digitaalselt kuhjuvat ainest. Tööprotsesside automatiseerimine võimaldab keskenduda põhiteenuse pakkumisele ja selle kvaliteedile.
</t>
  </si>
  <si>
    <t>Automaatne kataloogimine ja märksõnastamine krati arendus*</t>
  </si>
  <si>
    <t xml:space="preserve">Loodud on 1 mäluasutuste keskne rakendus, mida kasutab vähemalt 1 mäluasutus (RaRa) oma digiainese kirjeldamisel.
Lahendus on võimeline SäES'i raames laekunud trükieelsete failide pealt looma automaatsed kirjeldused </t>
  </si>
  <si>
    <t xml:space="preserve">ok </t>
  </si>
  <si>
    <t>Rahastatud (SF 21-27)</t>
  </si>
  <si>
    <t>SF 21-27 (taotletav raha)</t>
  </si>
  <si>
    <t>Prognoositav investeeringu kulu tugineb eelnevate arendusprojektide läbiviimise kogemusele, turu-uuringule, eelnevale analüüsile/prototüüpimisele</t>
  </si>
  <si>
    <t>3. Tegevus, mis vajab jätkusuutlikkuse kulusid ja need on eraldi real välja toodud</t>
  </si>
  <si>
    <t>Automaatne kataloogimine ja märksõnastamine krati ülalpidamiskulud</t>
  </si>
  <si>
    <t>2. Tegevus on jätkusuutlikkuse kulu</t>
  </si>
  <si>
    <t>Eesti Rahvakultuuri Keskus,
ELTSA (Kultuuriministeerium)</t>
  </si>
  <si>
    <t>1.2.1. Avalike teenuste juhtimise ja kasutajakesksuse juurutamine</t>
  </si>
  <si>
    <t xml:space="preserve">Rahvakultuuripoliitika rakendamine </t>
  </si>
  <si>
    <t>ELTSA ja RAKU andmekogud on vananenud platvormidel ega ole enam uuendatavad, on suur oht, et vajalikud andmed lähevad kaduma.</t>
  </si>
  <si>
    <t>ELTSA-RAKU andmekogu arendus</t>
  </si>
  <si>
    <t>Loodud on kaasaegsetel platvormidel ELTSA ja RAKU ühisandmekogu</t>
  </si>
  <si>
    <t>ok</t>
  </si>
  <si>
    <t>Prognoositav investeeringu kulu tugineb detailanalüüsi andmetele.</t>
  </si>
  <si>
    <t>Eesti Rahvakultuuri Keskus,
ELTSA</t>
  </si>
  <si>
    <t>II: küberruumi hoidmine, arendamine ja juurutamine usaldusväärse ja turvalisena</t>
  </si>
  <si>
    <t>ELTSA-RAKU andmekogu ülalpidamiskulud</t>
  </si>
  <si>
    <t>Prognoositav halduskulu tugineb detailanalüüsi andmetele.</t>
  </si>
  <si>
    <t>Muinsuskaitseamet</t>
  </si>
  <si>
    <t>MKA</t>
  </si>
  <si>
    <t xml:space="preserve">Muuseumipoliitika rakendamine </t>
  </si>
  <si>
    <t>Vana MuIS süsteem, tema funktsionaalsused ja kasutusmugavus ei vasta tänastele vajadustele</t>
  </si>
  <si>
    <t>MuIS etapp II arendus*</t>
  </si>
  <si>
    <t>MuIS etapp II tööd on valminud.</t>
  </si>
  <si>
    <t>Prognoositav investeeringu kulu tugineb eelanalüüsi andmetele.</t>
  </si>
  <si>
    <t>4. Tegevus, mis vajab jätkusuutlikkuse kulusid, aga neid pole välja arvutatud ja eraldi real välja toodud</t>
  </si>
  <si>
    <t>MuIS etapp II arendus - ülalpidamiskulud</t>
  </si>
  <si>
    <t>Prognoositav ülalhoiu kulu tugineb eelanalüüsi andmetele.</t>
  </si>
  <si>
    <t>Eesti kultuuripärand on maailmas ainulaadne ning on oluline paljudele uurijaid ka välismaal, kahjuks on kasutusliides tehniliselt mahajäänud. Uus digitaalarhiivi kasutusliides võimaldab tuua kokku mitte ainult RaRa kogud, vaid pakkuda digitaalarhiivi teenust ka väiksematele mäluasutustele, mis omakorda hoiab kokku ressursse ja vähendab kogude killustatust. Digitaalarhiiv on kättesaadav kolmelt erinevalt kasutusliideselt, mis on kasutajale ebamugav ja halduse seisukohalt ebamõistlik. Kogude kättesaadavust piirab arhiiviülese otsingu puudumine ning keerukas kasutusliideste haldus (sh muudatuste tegemine). Uue digitaalarhiivi kasutusliidesega pakume kaasaegset ja paindlikku kasutajakogemust ning kogude leitavuse, kättesaadavuse ja taaskasutuse tõusu, mis saavutatakse peamiselt materjali IIIF raamistikku viimise abil.</t>
  </si>
  <si>
    <t>RaRa uue digitaalarhiivi kasutajakeskkonna loomine </t>
  </si>
  <si>
    <t>Tagatud on kasutajate eeldused ja ootused digitaalse kultuuripärandi kättesaadavusele. Kogude populaarsuse ja taaskasutuse tõus nii Eestis kui lähiriikides, kasutussessioonide tõus 15%. IIIF võimekus tagab kasutajatele ja teistele institutsioonidele paremad võimalused kogu ristkasutuseks ja rikastamiseks (sh välismaiste kogudega).
Võimekuse loomine väiksematele mäluasutustele kodulooliste ja temaatilistele kollektsioonide väljanäitamiseks.
Kasutuskoopiate kvaliteedi tõstmine ja metaandmete ühtlustamine, mis tagab sisu parema leitavuse ja veebiarhiivi materjali nähtavale toomise.
Ligipääsetavuse nõuetele vastav kasutuskeskkond.
Digihumanitaaridele kogude kasutamise võimekuse loomine.</t>
  </si>
  <si>
    <t>Kulu prognoosimisel tuginetakse eelnevate arendusprojektide läbiviimise kogemusele ja turu-uuringule.</t>
  </si>
  <si>
    <t>RaRa uue digitaalarhiivi kasutajakeskkonna loomine - ülalpidamiskulud</t>
  </si>
  <si>
    <t>Raamatukogudel puudub tegevuste analüüsimiseks ja juhtimiseks ühtsetel põhimõtetel toimiv juhtimistöölaud, mis koondaks vajaliku andmestu Eesti raamatukogude võrgu kohta ning võimaldaks raamatukogudel efektiivselt ja operatiivselt andmeid koguda, töödelda ja vahetada, sh neid juhtimisotsuste tegemisel ja ka uute lugejatele suunatud teenuste pakkumisel kasutada. Olemasolev tegevusnäitajaid koondav keskkond on nii sisuliselt kui tehniliselt aegunud, nõuab mitmekordset käsitööd nii andmete kogumisel kui töötlemisel, liidestusvõimalused puuduvad, uute teenuste moodustamise nende baasil ei ole võimalik. Sarnase juhtimistöölaua vajadus on Kultuuriministeeriumi haldusalas laiemalt.</t>
  </si>
  <si>
    <t>Üleriigiline teenus "Raamatukogude juhtimistöölaud" loomine*</t>
  </si>
  <si>
    <t>Koostöös raamatukogudega on disainitud ootustele vastav, atraktiivne, kasutajasõbralik ja lihtne e-teenus, mis arvestab ka ligipääsetavuse nõuetega. 
Koostatud on raamatukogude juhtimistöölaua ja selles pakutavate teenuste kirjeldus, ärinõuded ja tehniline lahendus.
Juhtimistöölaud on kasutusele võetud. Selle funktsionaalsused on kaasaegsed ja vastavad ärilistele vajadustele. Loodud on API täiendavate teenuste ja funktsionaalsuste loomiseks.  Tehnoloogiline platvorm arendatakse põhimõttel, mis sobiks haldusala üleseks kasutamiseks ja laiendamiseks.</t>
  </si>
  <si>
    <t>Arhitektuuripaneeli vajadus</t>
  </si>
  <si>
    <t>Üleriigiline teenus "Raamatukogude juhtimistöölaud" loomine - ülalpidamiskulud</t>
  </si>
  <si>
    <t>Rahvusarhiiv</t>
  </si>
  <si>
    <t>RA</t>
  </si>
  <si>
    <t>Digitaliseerumise poliitika rakendamine</t>
  </si>
  <si>
    <t>2023. aastaks on digitaalsena kättesaadav 3% dokumendipärandist ja 60% filmipärandist. Kasutajate jaoks on  pärandi kättesaadavus killustatud, digitaalse kultuuripärandi kättesaadavuse % pole piisav.</t>
  </si>
  <si>
    <t>Dokumendi- ja filmipärandi digiteerimine*</t>
  </si>
  <si>
    <t>55% Eesti mäluasutustes olevast kultuuripärandist on aastaks 2029 digitaalselt kättesaadav: dokumendid, trükised, esemed (3D), fotod, filmid, ehituspärand (3D). Projektid:  Suure kasutajatepoolse huviga kultuuriväärtusliku dokumendipärandi kättesaadavus on suurenenud. Nõukogude-aegsete loominguliste liitude, kultuuri-ja teadusasutuste arhiivid Kinnistuarhiivide kinnistusregistrid Riigikogu istungite videosalvestised 1999-2012 VHSidel</t>
  </si>
  <si>
    <t>?</t>
  </si>
  <si>
    <t>Kulu prognoosimisel on tuginetud turu-uuringule.</t>
  </si>
  <si>
    <t>5. Tegevus, mis ei vaja jätkusuutlikkuse kulusid.</t>
  </si>
  <si>
    <t>2023. aastaks on digitaalsena kättesaadav 28% trükipärandist. Kasutajate jaoks on  pärandi kättesaadavus killustatud, digitaalse kultuuripärandi kättesaadavuse % pole piisav.</t>
  </si>
  <si>
    <t>Trükipärandi digiteerimine*</t>
  </si>
  <si>
    <t>55% Eesti mäluasutustes olevast kultuuripärandist on aastaks 2029 digitaalselt kättesaadav: dokumendid, trükised, esemed  (3D), fotod, filmid, ehituspärand (3D). Projekt: Väliseesti kirjandus (sh perioodika ja teaduslikud separaadid)</t>
  </si>
  <si>
    <t>Rahvusarhiiv, 
Eesti Rahvusraamatukogu, 
Rahusringhääling, RIT</t>
  </si>
  <si>
    <t>RA, RaRa, ERR</t>
  </si>
  <si>
    <t>3.1. Ajakohane küberturvalisuse riiklik korraldus</t>
  </si>
  <si>
    <t>Digitaalne kultuuripärand ei ole tagatud väljaspool Eesti riigi territooriumi</t>
  </si>
  <si>
    <t>Digitaalse kultuuripärandi tagamiseks eelduste loomine</t>
  </si>
  <si>
    <t>Digitaalne kultuuripärand on tagatud väljaspool Eesti riigi territooriumi</t>
  </si>
  <si>
    <t>Täpsem eelarve selgub.</t>
  </si>
  <si>
    <t>Muinsuskaitseamet, Rahvusraamatukogu</t>
  </si>
  <si>
    <t>1.2.5. Uute lähenemisviiside pidev katsetamine</t>
  </si>
  <si>
    <t>Olemasolev vastuvõtulahendus Toru on seadistatud materjali edastama olemasolevasse digitaalarhiivi. Kuna Massdigiteerimise projekti 3.etapi ajaks on Rahvusraamatukogul uus digitaalarhiiv juurutatud, tuleks luua tehniline lahendus, mis edastab materjali uude digitaalarhiivi. Kuna objekti struktuur ja metaandmed ning liidestumine on uuel digitaalarhiivil erinevad olemasolevast, oleks vaja luua uus lahendus. Rahvusraamatukogu saab uue lahenduse loomisel kasutada ära oma kogemust praeguse lahendusega, mistõttu uus lahendus on eeldatavasti töökindlam ja jätkusuutlikum ning ei vaja manuaalset sekkumist protsessidesse.</t>
  </si>
  <si>
    <t>Failide massloovutuse lahenduse arendus</t>
  </si>
  <si>
    <t>Massdigiteerimise projekti käigus loodud digitaalsed objektid on edastatud Rahvusraamatukogu digitaalarhiivi ning neile on tagatud alatine ligipääs ja objektid on vastavalt nõuetele pikaajaliselt säilitatud. Loodud lahendus on jätkusuutlik ja ei vaja järgmiste massloovutusprojektide puhul uuendamist.</t>
  </si>
  <si>
    <t>Failide massloovutuse lahenduse ülalpidamiskulud</t>
  </si>
  <si>
    <t xml:space="preserve">Hetkel on kasutusel kolm erinevat raamatukogu süsteemi, teenus on killustunud, dubleeriv ja kallis, ega vasta kasutajate ootustele. </t>
  </si>
  <si>
    <t>Uus raamatukogusüsteem detailanalüüs</t>
  </si>
  <si>
    <t>Detailanalüüsi tulemusel selgub, milline uus raamatukogusüsteem oleks kõige otstarbekam soetada, arendusprojekti maksumus ja täpsem ajakava koos tegevustega.</t>
  </si>
  <si>
    <t>Kulude prognoosimisel on tuginetud 2022 raamatukoguteenuste ärianalüüsile ja teenusdisainile</t>
  </si>
  <si>
    <t>Kultuurileht</t>
  </si>
  <si>
    <t>2.4. Uudsete sisu- ja äriteenuste arendus</t>
  </si>
  <si>
    <t>Kirjanduspoliitika rakendamine</t>
  </si>
  <si>
    <t>Kultuurilehe veeb on vananenud ega vasta kasutajate ootustele.</t>
  </si>
  <si>
    <t>Projekt "Tervikliku veebilahenduse analüüs ja prototüüpide loomine"</t>
  </si>
  <si>
    <t>Analüüsi tulemusel selgub, milline oleks sobivaim lahendus uue Kultuurilehe veebi jaoks.</t>
  </si>
  <si>
    <t>Kulu prognoosimisel tuginetakse eelnevate analüüsiprojektide läbiviimise kogemusele.</t>
  </si>
  <si>
    <t>Spordikoolituse ja -Teabe SA</t>
  </si>
  <si>
    <t>1.2.3. Tulevikukindlad digiriigi platvormid</t>
  </si>
  <si>
    <t xml:space="preserve"> Spordiinfo kogumise ja arendustegevuste toetamine</t>
  </si>
  <si>
    <t>Spordiregistri jätkusuutlik arendamine ja ajakohasena hoidmine</t>
  </si>
  <si>
    <t>Eesti spordiregistri (ESR) väikearendused</t>
  </si>
  <si>
    <t>Spordiregister on jätkusuutlikult arendatud ja ajakohane. Eesti spordiregistri (ESR) administreerimiskeskkonna (sh andmete kogumise poole) kaasajastamine; ESR tulemuste alamandmekogu kolimine; Pilootprojekt treenerite tööjõukulude toetuse sidumiseks KOV pearaha süsteemidega</t>
  </si>
  <si>
    <t>Prognoositav kulu tugineb teenusepakkuja hinnapakkumisele.</t>
  </si>
  <si>
    <t>Teater Vanemuine</t>
  </si>
  <si>
    <t>Etenduskunstide poliitika rakendamine</t>
  </si>
  <si>
    <t>Teatritel on hulgaliselt rekvisiite ja muud vara, millest puudub hetkel ülevaade ning mida ei saa mõistlikul viisil välja laenutada.</t>
  </si>
  <si>
    <t>Teatrite varade laenutussüsteemi analüüs</t>
  </si>
  <si>
    <t>Analüüsi tulemusel selgub, milline oleks sobivaim lahendus, et teatritel oleks võimalik oma vara arvele võtta ja välja laenutada, samuti planeerida 3D mudelite abil laenutatavate esemete sobivust lavakujundusse.</t>
  </si>
  <si>
    <t>Analüüsi ei hangita väljast sisse, vaid viiakse läbi ministeeriumi poolt, kaasates vajadusel teisi partnereid (RIK).</t>
  </si>
  <si>
    <t>Kultuurilehe veeb on vananenud ega vasta kasutajate ootustele. 2023.a viidi läbi "Tervikliku veebilahenduse analüüs ja prototüüpide loomine"</t>
  </si>
  <si>
    <t>SA Kultuurileht - Tervikliku veebilahenduse arendamine</t>
  </si>
  <si>
    <t>Välja on arendatud ja tootestatud Kultuurilehe uus terviklik veebilahendus vastavalt 2023.a läbiviidud analüüsile.</t>
  </si>
  <si>
    <t xml:space="preserve">Kultuuriministeeriumis puudub piisav võimekus andmehalduse strateegia ja tegevuskava loomiseks ja rakendamiseks. </t>
  </si>
  <si>
    <t>KuM haldusala digivõimekuse tõstmine</t>
  </si>
  <si>
    <t xml:space="preserve">Luuakse andmehalduse peaekspert ametikohht KuM-i struktuuri. Andmehalduse tegevuskava on 2023.a jooksul loodud ja alustatakse rakendamisega. </t>
  </si>
  <si>
    <t>Tulevaste kulude prognoosimisel on tuginetud senistele kuludele.</t>
  </si>
  <si>
    <t>RaRa-s puudub piisav võimekus infoturbe  ja arhitektuuri valdkonna koordineerimiseks, arendamiseks ja tagamiseks.  Haldusala olemasolevate ja uute teenuste loomise maht ja keerukus vajab tehnoloogia arhitekti ja infoturbe võimekuse kasvu.</t>
  </si>
  <si>
    <t>KuM haldusala digivõimekuse tõstmine*</t>
  </si>
  <si>
    <t>Luuakse kaks uut ametikohta: arhitekti ja infoturbe ametikohad RaRA struktuuri.  Tagatud on E-ITS juurutamine ja rakendamine RaRa-s, infoturbe taseme tõus. Tagatud on arendusprojektide elluvuviimine RaRa ja KuM-i juhitud projektides.</t>
  </si>
  <si>
    <t>KuM SIO</t>
  </si>
  <si>
    <t>Kesksele arvutitöökohateenusele (RIT) ülemineku jätkamine järgmistes asutustes: Ugala Teater​, Draamateater, Rakvere Teatrimaja​, Eesti Kunstimuuseum</t>
  </si>
  <si>
    <t>Keske arvutitöökohateenuse konsolideerimine</t>
  </si>
  <si>
    <t>Keskse arvutitöökohateenusega on liitunud järgmised asutused: Ugala Teater​, Draamateater, Rakvere Teatrimaja​, Eesti Kunstimuuseum</t>
  </si>
  <si>
    <t>Täpsem eelarve selgub tegevuste käigus.</t>
  </si>
  <si>
    <t>1. Baaseelarve tegevus, mis sisaldab jätkusuutlikkuse kulusid ja need on samal real välja toodud</t>
  </si>
  <si>
    <t>1.2.2. Andmepõhine riigivalitsemine ja andmete taaskasutus</t>
  </si>
  <si>
    <t>Puudub KuM valitsemisala ülene  andmehalduse tegevuskava järgmiseks perioodiks</t>
  </si>
  <si>
    <t>Andmehaldus ja -analüüs, andmehaldussüsteemi loomine, arendamine</t>
  </si>
  <si>
    <t>KuM valitsemisala andmehalduse tegevuskava täiendamine ja kinnitamine 2023-2024 ja rakendamine</t>
  </si>
  <si>
    <t>MuIS etapp III etapi arendus</t>
  </si>
  <si>
    <t>MuIS etapp III etapi tööd on valminud. vananenud tarkvara on täielikult asendatud uuega​, funktsionaalsused on kaasaegsed ja vastavad olulistele ärilistele vajadustele, loodud on oodatud uued teenused seisundihinnangute ja digiteerimistööde jaoks​ konserveerimismoodul on valdkondade-ülene teenus​
​</t>
  </si>
  <si>
    <t>nok</t>
  </si>
  <si>
    <t>Rahastusvajadus alates 2026</t>
  </si>
  <si>
    <t xml:space="preserve">Täpsem eelarve selgub tegevuste käigus. Täpsem hind selgub raamhanke minikonkurssi hinnapakkumise tulemusel II etapi (2024-2025) tööde jooksul. </t>
  </si>
  <si>
    <t>4. SF tegevus, mis vajab jätkusuutlikkuse kulusid, aga neid pole välja arvutatud ja eraldi real välja toodud</t>
  </si>
  <si>
    <t>MuIS etapp IV etapi arendus</t>
  </si>
  <si>
    <t>MuIS etapp IV etapi tööd on valminud. Avaliku portaali kasutamise võimalused on varasemasest mitmekülgsemad ning kaasavamad​ funktsionaalsused on kaasaegsed ja vastavad olulistele ärilistele vajadustele, loodud on oodatud uued teenused muuseumihariduse jaoks ning tugi ühisloome kasutamiseks​
​</t>
  </si>
  <si>
    <t>Täpsem eelarve selgub tegevuste käigus. Täpsem hind selgub raamhanke minikonkurssi hinnapakkumise tulemusel III etapi tööde (2026) jooksul.</t>
  </si>
  <si>
    <t xml:space="preserve">III: Küberturvalisus </t>
  </si>
  <si>
    <t>1.1.3. Inimkeskne Digiriik</t>
  </si>
  <si>
    <t>III: teadlikkuse tõstmine</t>
  </si>
  <si>
    <t>KuM valitsemisala töötajad ja konkreetsete teenuste eest vastutavad isikud vajavad järjepidevalt teadlikkuse tõstmist.</t>
  </si>
  <si>
    <t>Teadlikkuse tõstmine</t>
  </si>
  <si>
    <t>Kasutajate ja teenuste eest vastutavate isikute teadlikkuse tõstmisega tegelevad asutused regulaarselt, kokku on lepitud iga-aastastes koolituskavades. Lisaks suuname keskselt kasutama digiakadeemia  keskkonda teadlikkuse tõstmiseks, samuti viime iga-aastselt läbi küberteadlikkuse tõstmise koolitusi.</t>
  </si>
  <si>
    <t>KuM valitsemisala asutustes on infoturbe tase ebaühtlane. Keskne koordineerimine aitab taset ühtlustada ja tagada, et infoturve on asutustes korraldatud vastavalt nõuetele.</t>
  </si>
  <si>
    <t>KuM-i ja tema valitsemisala infoturbe juhtimise süsteemi loomine, haldamine ja arendamine ning toimimise hindamine</t>
  </si>
  <si>
    <t>Kultuuriministeeriumi ja tema valitsemisala infoturbe juhtimise süsteem vastab valitsemisala asutuste vajadustele ja on ajakohane. Toimib regulaarne infovahetus ja teadlikkuse tõstmine.</t>
  </si>
  <si>
    <t>KuM valitsemisalas ei ole infoturvet väljaspool andmekogude haldamisega seotud asutusi järjepidevalt korraldatud. Asutused vajavad järeleaitamist, sh E-ITS tööriista infoturbe tegevuste dokumenteerimiseks.</t>
  </si>
  <si>
    <t>Eesti infoturbestandardi (E-ITS) juurutamine ja EIT-si tööriista kasutuselevõtt</t>
  </si>
  <si>
    <t>Eesti infoturbestandard on rakendatud vähemalt asutustes, kes on KüTSi järgi selleks kohustatud ja E-ITSi põhimõtetega arvestatud ka ülejäänud organisatsioonides.</t>
  </si>
  <si>
    <t>Puudub KuM valitsemisala ülene IT taristu ülevaade.</t>
  </si>
  <si>
    <t>Infosüsteemide kaardistus, ministeeriumi ja valitsemisala ülese teenuste portfelli loomine (olulisemad- ja avalikud e-teenused)</t>
  </si>
  <si>
    <t>Ülevaade olemasolevate süsteemide kitsaskohtadest ja võimalus analüüsida asutuste teenuste konsolideerimist.</t>
  </si>
  <si>
    <t>2. Tegevus on jätkusuutlikkuse kulu (baaseelarve, RES lisataotlus, muu allikas)</t>
  </si>
  <si>
    <t xml:space="preserve">Puudub KUM valitsemisala ülene süsteemne teenustega rahulolu mõõtmine </t>
  </si>
  <si>
    <t>Avalike teenuste rahulolu mõõtmine</t>
  </si>
  <si>
    <t xml:space="preserve">Toimiv süsteem teenustega rahulolu monitoorimiseks (metoodika vastutajad, teenuste, perioodilisus), koostatud ja rakendatud tegevuskava vastava süsteemi rakendamiseks.  </t>
  </si>
  <si>
    <t>Puudub ühtne tööriist asutuste andmete kirjeldamiseks</t>
  </si>
  <si>
    <t>RIHAKE-se tööriista kasutuselevõtt</t>
  </si>
  <si>
    <t>RIHAKE on asutusse paigaldatav andmehalduse rakendus, mis võimaldab andmekirjelduse standardi kohaselt: kirjeldada asutuse andmestikke,
kirjeldada andmestikes kasutatavaid klassifikaatoreid ja loendeid, koostada andme- ja ärisõnastikke, edastada andmekirjeldusi teistesse süsteemidesse. RIHAKE toetab andmete haldamist asutuses ning võimaldab sellega parandada andmete taaskasutust ja leitavust.</t>
  </si>
  <si>
    <t>KuM valitseisalas ei ole rakendatud andmejälgia</t>
  </si>
  <si>
    <t>Andmejälgija kasutuselevõtt</t>
  </si>
  <si>
    <t>Võtame uute andmekogude loomisel kasutusele andmejälhija rakenduse, kus töödeldakse isikuandmeid. Selleks on  näiteks ELTSA-RAKU ühise andmekogu loomine. Andmejälgija on mõeldud liidestamiseks avaliku sektori infosüsteemidega, mis hoiavad ning töötlevad enda andmekogudes isikuandmeid. Andmejälgija eesmärk on pakkuda kodanikule selget ülevaadet tema andmetega sooritatud toimingutest. Terviklik ülevaade kuvatakse riigiportaalis eesti.ee</t>
  </si>
  <si>
    <t>Puuduvad ühtsed valitsemisala ülesed IT teenuste korraldamise põhimõtted, vastutused ja rollid.</t>
  </si>
  <si>
    <t>KuM valitsemisala IT teenuste korraldamise raamistiku põhimõtete  rakendamine</t>
  </si>
  <si>
    <t>10.22 IT nõukogu poolt heaks kiidetud raamistik. 2024.a plaanis jätkata raamistikus toodud põhimõtete rakendamist meie haldusala asutustes</t>
  </si>
  <si>
    <t>5. SF tegevus, mis ei vaja jätkusuutlikkuse kulusid (nt analüüs)</t>
  </si>
  <si>
    <t>ERR</t>
  </si>
  <si>
    <t xml:space="preserve">Meediapoliitika rakendamine </t>
  </si>
  <si>
    <t>Praegune tootmisprotsess on automatiseerimata, saadete ettevalmistuse aeg ennustamatu, vajalik on 6-7 liikmeline meeskond.</t>
  </si>
  <si>
    <t>Uudiste tootmise tööprotsessi digitaliseerimine I etapp (varem: Uudiste tootmise infosüsteem)</t>
  </si>
  <si>
    <t xml:space="preserve">Uudistetootmise tööprotsessi on digitaliseeritud. Uudiste stuudios võetakse kasutusele tarkvara poolt juhitud režii, saateid on võimalik teha väiksema meeskonnaga. </t>
  </si>
  <si>
    <t>Kulude prognoosimisel on tuginetud teenusepakkuja hinnapakkumisele.</t>
  </si>
  <si>
    <t>Jätkusuutlikkuse kulud kaetakse baaseelarvest.</t>
  </si>
  <si>
    <t>Kultuuriministeeriumis puudub piisav võimekus ärianalüüside läbiviimiseks. Kiiremaloomulised ärianalüüsid, mis on vajalik lähiajal läbi viia  on järgmised: 
*Kultuurimälestiste registri  ärianalüüs, sh EHR liidestamise analüüs (VVTP 2025)
*Autorhüvitisfondi andmebaasi ja funktsionaalsuse RaRasse üleviimise analüüs​
*Eestis kohanemise teenuse ärianalüüs. Iga analüüs üksikult sisse ostes on ca 50 000-100 000 ühe analüüsi kohta</t>
  </si>
  <si>
    <t xml:space="preserve">Kultuurimälestiste registri analüüsi tulemusel selgub, kas on mõistlik jätkata olemasoleva registri arendamist või alustada uue loomist  s.h analüüsitakse ehitusregistriga integreerimise võimalusi. 
Autorhüvitisfondi RaRasse üleviimise analüüs​i tulemusena selgub kas ja kuidas on võimalik AHF-i andmebaasi ja funktsionaalsuse üle viia.
Läbi on viidud Eestis kohanemise teenuse ärianalüüs, mille käigus selgub teenuse to-be vaade ja edasised arendusvajadused.
</t>
  </si>
  <si>
    <t>Olemasolev tarkvara lahendus on seotud telemaja füüsilise asukohaga. Kriisikohver-stuudio ja kaugtootmisüksustega salvestatud videomaterjal on varundamata ja on kasutatav ainult kriisikohver-stuudio ja kaugtootmisüksuste asukohtades.</t>
  </si>
  <si>
    <t>Telesaadete kaugsalvestusteenuse uuendus</t>
  </si>
  <si>
    <t>Asukohast sõltumatu videomaterjali salvestamise ja taasesitamise võimekus. Kriisikohver-stuudio ja kaugtootmisüksustega salvestatud videomaterjal on varundatud mitmes füüsilises asukohas. Videomaterjali taasesitamine on seetõttu võimalik sõltumata asukohast ja ajast.</t>
  </si>
  <si>
    <t>Kulude prognoosimisel on tuginetud teenuspakkuja hinnapakkumisele.</t>
  </si>
  <si>
    <t xml:space="preserve">Tänane tehnoloogiline lahendus on ajale jalgu jäänud nii omamiskulude kui koosvõimelisuse kontekstis. </t>
  </si>
  <si>
    <t>Teletootmise infosüsteem III etapp</t>
  </si>
  <si>
    <t>Uuendatud teletootmise tarkvara lahendus ERRi esimeses stuudios on kasutusele võetud.</t>
  </si>
  <si>
    <t>Vaid 3% Eesti kultuuripärandiasutustes olevast dokumendipärandist on digitaalselt kättesaadav.</t>
  </si>
  <si>
    <t>Nõukogude-aegsete loominguliste liitude, kultuuri-ja teadusasutuste arhiivid*</t>
  </si>
  <si>
    <t>Suure kasutajatepoolse huviga kultuuriväärtusliku dokumendipärandi kättesaadavus on suurenenud.</t>
  </si>
  <si>
    <t>Kinnistuarhiivide kinnistusregistrid*</t>
  </si>
  <si>
    <t>Kogu Eesti kultuuripärandiasutustes olev filmipärand pole digitaalsena kättesaadav. Samuti on materjail suur säilitusvajadus, kuna VHSid on kõige kiiremini hävinev kandjaliik audiovideo valdkonnas.</t>
  </si>
  <si>
    <t>Riigikogu istungite videosalvestised 1999-2012 VHSidel</t>
  </si>
  <si>
    <t>Suure kasutajatepoolse huviga kultuuriväärtusliku filmipärandi kättesaadavus on suurenenud. Filmipärand on pikaajaliselt säilitatud.</t>
  </si>
  <si>
    <t>Kogu Eesti kultuuripärandiasutustes olev trükipärand pole digitaalsena kättesaadav. Tegu on unikaalse kollektsiooniga.</t>
  </si>
  <si>
    <t>Väliseesti kirjandus (sh perioodika ja teaduslikud separaadid)*</t>
  </si>
  <si>
    <t>Suure kasutajatepoolse huviga kultuuriväärtusliku trükipärandi kättesaadavus on suurenenud.</t>
  </si>
  <si>
    <t>Hetkel on kasutusel kolm erinevat raamatukogu süsteemi, teenus on killustunud, dubleeriv ja kallis, ega vasta kasutajate ootustele. Tegu on VVTP tegevusega.</t>
  </si>
  <si>
    <t>Ühtne üleriigiline raamatukogusüsteem: e-kataloogi arendus + karbitoote ost ja juurutamine*</t>
  </si>
  <si>
    <t>Ühtne üleriigiline raamatukogusüsteem on kasutusele võetud Eesti Rahvusraamatukogus ja kõigis Eesti rahvaraamatukogudes. Projekti lõppedes on võimekus ja ootus, et süsteemiga ühenevad ülejäänud avalikku teenust pakkuvad raamatukogud (teadus- ja erialaraamatukogud, kooliraamatukogud).</t>
  </si>
  <si>
    <t>x</t>
  </si>
  <si>
    <t>Kulude prognoosimisel on tuginetud läbi viidud analüüsidele.</t>
  </si>
  <si>
    <t>Jätkusuutlikkuse kulud on teada ja kaetakse raamatukogude reformi käigus vabanevatest vahenditest; kulude suurus sõltub liituvate raamatukogude arvust.</t>
  </si>
  <si>
    <t>Luua seni puuduvad võimalused digitaalse kultuuripärandi uurimiseks, rikastamiseks ning taas- ja ristkasutamiseks, nii üksikute teoste kui suuremate kogumite tasemel</t>
  </si>
  <si>
    <t>DIGARi andme- ja kodanikuteaduse arendusetapp</t>
  </si>
  <si>
    <t xml:space="preserve">Kasutusele on võetud teadlaste vajadusi ja ootuseid silmas pidav DIGARi teadlase vaade, mille lisafunktsionaalsused võimaldavad eesrakenduses muuhulgas otsitulemusi visualiseerida, väiksemate andmehulkade eksporti, ainese annoteerimist ja märksõnastamist ning kasutajate kaasamist erinevatesse ühisloome projektidesse. </t>
  </si>
  <si>
    <t xml:space="preserve">Jätkusuutlikkuse kulud on teada. Projekti raames püsi- ja hoolduskuludeks vahendeid ei küsita, jätkusuutlikuse kulud on kaetud RaRa eelarvest. </t>
  </si>
  <si>
    <t>Euroopa Komisjon on seadnud aastaks 2030 liikmesriikidele eesmärgid (https://digital-strategy.ec.europa.eu/en/news/commission-proposes-common-european-data-space-cultural-heritage), kui suur osa ehitus- ja esemepärandist tuleks 3D digida, kuid Eestis puudub ülevaade ja kriteeriumid, mille alusel hinnata pärandi ohustatust ja valmisolekut 3D digimiseks.</t>
  </si>
  <si>
    <t>Ehitus- ja esmepärandi ohustatuse ja digimise valmisoleku analüüs</t>
  </si>
  <si>
    <t>Kokku on lepitud kriteeriumid, mille alusel hinnata ehitus- ja esemepärandi 3D digimise vajadust, prioriteete. Valminud on ülevaade ohustatud pärandist. Kokku on lepitud, millistele kriteeriumitele peavad vastama ehitus- ja esemepärandi 3D mudelid, kus need kättesaadavaks tehakse ja kuidas pikaajaliselt säilitatakse.</t>
  </si>
  <si>
    <t>Kulude planeerimisel on tuginetud turu-uuringule.</t>
  </si>
  <si>
    <t>Eesti mäluasutuste kogudes on väga palju fotopärandit, mille olemasolu või seisukord pole selge. Samas on fotopärand üks suurima kasutushuvi ja -potentsiaaliga pärandiliik. Samuti on fotonegatiivid väga kergesti hävivad. Fotopärandi seisukord tuleb tuvastada ja hinnata, misjärel on võimalik kavandada selle digimine, digitaalselt kättesaadavaks tegemine ja pikaajaline säilitamine.</t>
  </si>
  <si>
    <t>Fotopärandi hetkeolukorra analüüs</t>
  </si>
  <si>
    <t>Välja on selgitatud unikaalsefotopärandi olukord mäluasutuste kogudes. Antud on hinnang fotopärandi digiteerimisvajadusele ja digimist vajav fotopärand on digimiseks ettevalmistatud.</t>
  </si>
  <si>
    <t>Eesti Rahvusringhääling</t>
  </si>
  <si>
    <t>Kogu Eesti kultuuripärandiasutustes olev filmipärand pole digitaalsena kättesaadav. 2023. a lõpuks oli kättesaadav 56% filmipärandist. Samuti on materjail suur säilitusvajadus, kuna filmilindid on kiiresti hävinev kandjaliik. 2023. aasta lõpuks oli kogu kultuuripärandist 42% digitaalsena kättesaadav.</t>
  </si>
  <si>
    <t>Kultuuripärandi digiteerimine: 
1. Eesti Telefilmi 16 mm filmide digimine
2. Eesti Telefilmi 16 mm ja 35 mm filmide magnetheli digimine</t>
  </si>
  <si>
    <t>Suure kasutajatepoolse huviga kultuuriväärtusliku filmipärandi kättesaadavus on suurenenud 70%-ni. Filmipärand on pikaajaliselt säilitatud. Kogu kultuuripärandist on digitaalsena kättesaadav 55%.</t>
  </si>
  <si>
    <t>•      Riigiülene andmevahetus ja vaade riigi koosvõime tagamiseks kuidas panna süsteemid ja registrid omavahel suhtlema, milline on õiguslik alus andmete kasutamiseks, kas on vajalikud seadusandlikud muudatused; 
•	Sündmusteenuste analüüside läbiviijate ja juurutajate kogemused – millele tähelepanu pöörata meie analüüsi kontekstis;
•	Kas nõusolekuteenus loob eelduse andmevahetusega seotud probleemise lahendamiseks;
•	Uuenduslike digiteenuste loojad – kuidas jõuda inimesteni innovaatiliselt ja mugavalt, milliseid kanaleid kasutada;
•	Kuidas ja kust riigi registrite kasutamiseks õiguslikku ja andmepõhise liikumise analüüsi targalt tellida?
MKM-i äripaneeli kokkuvõte: soovitus analüüsi- ja arendusprojektiga jätkata, võtta analüüsi ja lahenduse väljatöötamisel esimeseks sihtrühmaks õpilased ning andmevahetuse ja õigusliku analüüsi tellimine.</t>
  </si>
  <si>
    <t>Sündmusteenuse-, proaktiivse- ja  nõusolekuteenuse ärianalüüs ja teenusedisain</t>
  </si>
  <si>
    <t>Analüüsi tulemusel saame vastuse:
•	Ühe sihtrühma ärianalüüs: info- ja äriprotsessid, andmevood, arendus- ja tegevusplaan, õigusanalüüs, teenusedisain 
•	Kuidas teenused kasutajani viia
•	Milliseid kanaleid kasutada proaktiivsete teenuste pakkumisel
•	Milline on õiguslik alus (N:EHIS kasutamiseks) proaktiivsete teenuste pakkumiseks 
•	Teenuse mõju ja kulutõhususe analüüs</t>
  </si>
  <si>
    <t>Kogu Eesti kultuuripärandiasutustes olev fotopärand pole digitaalsena kättesaadav. 2023. a lõpuks oli kättesaadav 78% fotopärandist, kuid kogu mäluasutustes olev fotopärand pole kirjeldatud ja pole teada, kui suur maht tegelikult kogudes on. Samuti on materjalil suur säilitusvajadus, kuna fotonegatiivid on kergesti hävivad. 2023. aasta lõpuks oli kogu kultuuripärandist 42% digitaalsena kättesaadav.</t>
  </si>
  <si>
    <t>Vanema perioodi mustvalgte negatiivide digimine</t>
  </si>
  <si>
    <t>Suure kasutajatepoolse huviga kultuuriväärtusliku fotopärandi kättesaadavus on suurenenud 92%-ni. Fotopärand on pikaajaliselt säilitatud. Kogu kultuuripärandist on digitaalsena kättesaadav 55%.</t>
  </si>
  <si>
    <t>2023. a lõpuks oli vaid 3% Eesti kultuuripärandiasutustes olevast dokumendipärandist on digitaalselt kättesaadav. 2023. aasta lõpuks oli kogu kultuuripärandist 42% digitaalsena kättesaadav.</t>
  </si>
  <si>
    <t>Hoonete tüüpprojektid Eesti Projekti arhiivis digimine</t>
  </si>
  <si>
    <t>Suure kasutajatepoolse huviga kultuuriväärtusliku dokumendipärandi kättesaadavus on suurenenud 7%-ni. Dokumendipärand on pikaajaliselt säilitatud. Kogu kultuuripärandist on digitaalsena kättesaadav 55%.</t>
  </si>
  <si>
    <t>Isikute, suguvõsade ja mõisate arhiivide digimine</t>
  </si>
  <si>
    <t>AK kroonikate digimine</t>
  </si>
  <si>
    <t>Uuema perioodi värvinegatiivide digimine</t>
  </si>
  <si>
    <t xml:space="preserve">Kohanemisprogrammi iseteenindus ei võimalda teenuseid pakkuda efektiivselt ning välisveeb ei võimalda pakkuda ajakohast ja operatiivset infot kohanemisprogrammi kohta. </t>
  </si>
  <si>
    <t>Settle in Estonia kohanemisprogrammi iseteeninduse ja välisveebi arendused</t>
  </si>
  <si>
    <t xml:space="preserve">Kasutajasõbralikud veebileht ja iseteenindus, mis  koondavad infot kohanemisprogrammi koolituste kohta (baaskoolitused, teemakoolitused, keeleõpe) ning võimaldavad mugavat registreerimist ja oma koolitusvõimalustega tutvumist personaalse digiteenusena vastavalt erinevatele sihtrühmadele ja nende kohustustele ja võimalustele. </t>
  </si>
  <si>
    <t>II: Ühenduvus</t>
  </si>
  <si>
    <t>Muu rahastus</t>
  </si>
  <si>
    <t>+km</t>
  </si>
  <si>
    <t>RES IKT (vaja juurde taotleda)</t>
  </si>
  <si>
    <t>3. SF tegevus, mis vajab jätkusuutlikkuse kulusid ja need on eraldi real välja toodud</t>
  </si>
  <si>
    <t>1.1.4. Roheline digiriik</t>
  </si>
  <si>
    <t>Reserv (SR)</t>
  </si>
  <si>
    <t>SF 14-20 (töös olev projekt)</t>
  </si>
  <si>
    <t>3. teadlikkuse tõstmine</t>
  </si>
  <si>
    <t>1.2.6. Avatud innovatsioon ja digiriigi kogukonna arendamine</t>
  </si>
  <si>
    <t>1.2.7. Avaliku sektori digimuutuste võimendamine</t>
  </si>
  <si>
    <t>1.2.8. Sihitud väliskoostöö</t>
  </si>
  <si>
    <t>2.1. Ajakohane ja ettevaatav õigusruum</t>
  </si>
  <si>
    <t>2.2. Juurdepääsuvõrkude väljaarendamine</t>
  </si>
  <si>
    <t>2.3. 5G- ja 6G-baastaristu arendamine</t>
  </si>
  <si>
    <t>Olemasolevad vahendid</t>
  </si>
  <si>
    <t>3.2. Suundumiste, riskide ja mõjude analüüsivõime</t>
  </si>
  <si>
    <t>3.3. Suurem küberturvalisuse tagamise võimekus</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</si>
  <si>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</si>
  <si>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</si>
  <si>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</si>
  <si>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</si>
  <si>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</si>
  <si>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</si>
  <si>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</si>
  <si>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</si>
  <si>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</si>
  <si>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</si>
  <si>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</si>
  <si>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Jätkusuutlikkuse kulu</t>
  </si>
  <si>
    <t xml:space="preserve">2023 eelarve täitmine
</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</si>
  <si>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</si>
  <si>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</si>
  <si>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</si>
  <si>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</si>
  <si>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 xml:space="preserve">Uussisserändajate kohanemiseks vajalikud osateenused on toodud kokku üheks tervikuks ning uussisserändajad on teadlikud, kuidas ja millal neile suunatuid teenused kasutada; 2023. aastal I etapp lives, lisaks järgmised etapid kaardistada ja resurssid planeerida </t>
  </si>
  <si>
    <t xml:space="preserve">1. Eesti.ee's on infoteenus "Eestis kohanemine" kolmes keeles kättesaadav. 
2. 2 osateenuste tekstid ja nende tõlked jõudsid eesti.ee portaali jaanuar 2024. 
3. Aruande täitmsie hetkel on tööd teostatud. 
4. - 
5. Kaardistati arendusvajadusi ja koostati tegevuskava ja eelarve aastaks 2024. 
6. 2024 algusest oleme kogunud kasutajate tagasisidet ja viinud sisse parendusi teenuse paremaks kättesaadavuseks. On analüüsitud teenuse personaalsemaks tegemise arendusvajadusi ning edendatud koostöövõrgustikku. </t>
  </si>
  <si>
    <t>Muinsuskaitsepoliitika rakendamine</t>
  </si>
  <si>
    <t>Kultuurimälestiste register ei toimi korralikult, ei ole kasutajasõbralik. Vajalik on teha otsused registri tulevaste arenduste osas.</t>
  </si>
  <si>
    <t>Kultuurimälestiste registri eelanalüüs</t>
  </si>
  <si>
    <t>Eelanalüüsi tulemusel selgub, kas on mõistlik jätkata olemasoleva registri arendamist või alustada uue loomist.</t>
  </si>
  <si>
    <t>Analüüsi ei hangita väljast sisse, vaid viiakse ministeeriumi poolelt läbi koostöös RIKiga.</t>
  </si>
  <si>
    <t>1. Viidi arenduspartneri kaasabil läbi infosüsteemi audit infosüsteemi hetkeolukorra hindamiseks. MKA poolt viidi läbi täiendavate funktsionaalsuste ja üleval olevate veapiletite kaardistamine ning jõuti järeldusele, et enne funktsionaalsuste süsteemianalüüsi on  vajalik läbi viia laiem ärianalüüs Muinas registri tulevikuvisiooni kaardistamiseks. 
2. Tegemata jäi täiendavate funktsionaalsuste süsteemianalüüs, kuna selgus, et selle läbiviimine praegusete teadmiste pealt ei ole mõistlik ning vajalik on leida võimalus laiema ärianalüüsi tegemiseks.
3. Tegemata jäänud süsteemianalüüsi vajalikkuse otsustab ärianalüüs.
4. -
5. Kaardistati ärianalüüside tegemise vajalikkust haldusalas.
6. Otsustati ärianalüüsi läbiviimiseks palgata tähtajaline ärianalüütik ja taotleda selle jaoks SF vahendeid. Seetõttu on "kuni 2025 detsember tegevuskava" lehel eelanalüüsi projekt ümber nimetatud ärianalüüsi projektiks.</t>
  </si>
  <si>
    <t>Automaatne kataloogimine ja märksõnastamine krati arendus</t>
  </si>
  <si>
    <t>2023. aastal tegevusi ei tehtud, need lükkusid 2024. aastasse. 2024. aasta märtsi lõpus algas hankedokumentide ettevalmistamine. Hankekomisjon kogunes esimest korda 01.04.2024. Hankelepingu sõlmimine kavandatakse 2024. aasta juunis. 31.08.2025 peavad tööd olema RaRa-le üle antud.</t>
  </si>
  <si>
    <t>1. Viidi läbi hange arenduspartneri leidmiseks. Hanke läbiviimist alustati 2023.a keskpaigas ja arenduspartneriga sõlmiti leping märtsis 2024. Arendusprojektiga on alustatud.
2. Tegemata ei jäänud midagi.
3.-
4.- Arhitektuuripaneeli osas teavitasime MKMi, et kuna tugineme arendustööde tegemisel varasemalt tellitud detailanalüüsile, mis analüüsis ka arendusprojekti tehnilist lahendust, siis arhitektuuripaneeli tulekut ei pea me vajalikuks. 
5. Hanget ettevalmistavate ja hanke läbiviimisega seotud tegevusi tehti.
6. Arenduspartneriga on leping sõlmitud ning projekt alanud.</t>
  </si>
  <si>
    <t>MuIS etapp II arendus</t>
  </si>
  <si>
    <t xml:space="preserve">1. MuIS 2.0 I etapp on tootestatud seisuga november 2023. 
2. Tegemata ei jäänud midagi. 
3. -
4. Arhitektuuripaneeli ei ole toimunud. 
5. Tehti ettevalmistusi hanke läbiviimiseks, uuendati ärianalüüsi. 
6. Hankedokumendid on koostatud ja edastatud RTK-le hanke läbiviimiseks. </t>
  </si>
  <si>
    <t>Äripaneeli vajadus</t>
  </si>
  <si>
    <t>2023. aastal valmistati ette hankedokumente. Hange avaldati 11.12.2023, pakkumuste esitamise tähtaeg 5.01.2024. Hankeleping sõlmiti 16.02.2024. Hankelepingu täitmise tähtaeg 31.12.2024.</t>
  </si>
  <si>
    <t>Üleriigiline teenus "Raamatukogude juhtimistöölaud" loomine</t>
  </si>
  <si>
    <t>2023. aasta lõpus alustati hankedokumentide ettevalmistamist. Hange avaldati 04.03.2024, pakkumuste tähtaeg 12.04.2024. Statistika sisestamise lahendus peab valmima 2024. aasta lõpuks, et raamatukogud saaksid 2025. aasta jaanuaris alustada statistika sisestamist uude juhtimistöölauda. Samal ajal jätkub andmete visualiseerimise ja avaliku kasutuskeskkonna arendamine, mis peab valmima 2025. aasta I poolasta lõpuks.</t>
  </si>
  <si>
    <t>Dokumendi- ja filmipärandi digiteerimine</t>
  </si>
  <si>
    <t>45% Eesti mäluasutustes olevast kultuuripärandist on aastaks 2029 digitaalselt kättesaadav: dokumendid, trükised, esemed ja kunsti (2D ja 3D), fotod, filmid, ehituspärand (3D). Projektid:  Suure kasutajatepoolse huviga kultuuriväärtusliku dokumendipärandi kättesaadavus on suurenenud. Nõukogude-aegsete loominguliste liitude, kultuuri-ja teadusasutuste arhiivid Kinnistuarhiivide kinnistusregistrid Riigikogu istungite videosalvestised 1999-2012 VHSidel</t>
  </si>
  <si>
    <t>2023. aastal toimusid projektide ettevalmistavad tegevused (materjalide ettevalmistamine, hankedokumentide ettevalmistamine). Projekti "Riigikogu istungite videosalvestised​ 1999-2012 VHSidel" hanke ettevalmistamine jätkub. Projekti "Nõukogude-aegsete loominguliste​ liitude, kultuuri-ja teadusasutuste​ arhiivid" hange avaldatud 18.03.2024, pakkumuste esitamise tähtaeg 26.04.2024. Projekti "Kinnistuarhiivide kinnistusregistrid" hange avaldatud 18.03.2024, pakkumuste esitamise tähtaeg 26.04.2024.</t>
  </si>
  <si>
    <t>Trükipärandi digiteerimine</t>
  </si>
  <si>
    <t>45% Eesti mäluasutustes olevast kultuuripärandist on aastaks 2029 digitaalselt kättesaadav: dokumendid, trükised, esemed ja kunsti (2D ja 3D), fotod, filmid, ehituspärand (3D). Projekt: Väliseesti kirjandus (sh perioodika ja teaduslikud separaadid)</t>
  </si>
  <si>
    <t>2023. aastal toimusid projekti ettevalmistavad tegevused (läbirääkimised osapooltega, hankedokumentide ettevalmistamine). Projekti "Nõukogude perioodi ja​ väliseesti kirjanduse​ digiteerimine" hange avaldatud 28.03.2024, pakkumuste esitamise tähtaeg 30.04.2024.</t>
  </si>
  <si>
    <t>2023-2024 on toimunud haldusala sisemine olukorra ülevaatus. Oleme taotlenud digitaalse kultuuripärandi kriitiliste andmete lisamist "andmesaatkonna"  skoopi, mida paraku MKM ei rahuldanud.</t>
  </si>
  <si>
    <t>Vajalik on täpsustada erinevate arendusvajaduste sisu.</t>
  </si>
  <si>
    <t>Erinevate analüüside läbiviimine täpsemate vajaduste väljaselgitamiseks (tähtajaline tööleping)</t>
  </si>
  <si>
    <t>Projektide aluseks olevad arendusvajadused on väljaselgitatud</t>
  </si>
  <si>
    <t>Täpne maht selgub tööde tegemise käigus. Plaanis on palgata tähtajaliselt eraldi analüütik ning viia valdav enamik analüüse ise läbi, et vähendada analüüsidele kulutatavaid summasid.</t>
  </si>
  <si>
    <t>Ärianalüütiku palkamine 2023.a ei osutunud vajalikuks, kuna oli vajalik eelnevalt ülevaadata ja kindlaks teha vajalike analüüside hulk, puudub vastab baaseelarve. 2024.a seisuga on ärianalüütiku leidmine uuesti päevakorras ja vajalik, tegemist ootavate analüüside hulk on teada, taotleme rahastust SF vahenditest.</t>
  </si>
  <si>
    <t xml:space="preserve">2023. aastal toimusid projekti ettevalmistavad tegevused. Hange avaldati 19.12.2023, pakkumuste esitamise tähtaeg 24.01.2024. Hankeleping sõlmiti 25.03.2024. Hankelepingu täitmise tähtaeg 31.12.2024.
</t>
  </si>
  <si>
    <t>Detailanalüüs on läbiviidud ja aluseks uue raamatukogu infosüsteemi hankimisel ja juurutamisel.</t>
  </si>
  <si>
    <t>Analüüs viidi 2023.a läbi, tulemused on aluskes arendustööde läbiviimisel (baasrahastus)</t>
  </si>
  <si>
    <t xml:space="preserve">Valmisid järgmised arendused:
- Eesti spordiregistri (ESR) administreerimiskeskkonna (sh andmete kogumise poole) kaasajastamine  - tarkvara versiooni uuendus koos visuaali värskendamisega;
- ESR tulemuste alamandmekogu kolimine domeenilt sport24.ee domeenile spordiregister.ee ja integreerimine ESR avalikku veebi;
- pilootprojekt treenerite tööjõukulude toetuse sidumiseks KOV pearaha süsteemidega;
- sport.ee rebuild nii sisu kui vormi osas;
- erinevate analüüsitööriistade arendus;
- jooksvad väikearendused.
</t>
  </si>
  <si>
    <t xml:space="preserve">Teatrite varade laenutussüsteemi analüüsi esialgne versioon on valmis. Vajalik on jätkata läbirääkimisi analüüsis mitteosalenud teatritega nende kaasamiseks projekti, samuti jätkata läbirääkimisi erinevate teenusepakkujatega teatritele  sobiva ja jõukohase teenuse leidmiseks. </t>
  </si>
  <si>
    <t>2023.a lõpevad ERR-il senine KüTS-i rahastus (summad olid: 2019.a = 2 487 721€ , 
2020.a = 1 283 449€, 
2021.a = 2 378 829€, 
2022.a= 1 000 001€ , 
2023.a = 820 001€ . 
Edasise rahastuse puudumisel ei ole võimalik IKT teenuseid edasi samal tasemel osutadada. Inimesi tuleb koondada ja teenuseid sulgeda.</t>
  </si>
  <si>
    <t>Seniste KüTsi rahade jätkamine</t>
  </si>
  <si>
    <t>IKT teenuste osutamine on tagatud. IKT valdkonna kulude baasrahastus on tagatud, senine KyTS-i rahastus jätkub, teenuseid sulgema ei pea.</t>
  </si>
  <si>
    <t>Taotluseid ei rahuldatud, rahastus ei jätkunud</t>
  </si>
  <si>
    <t>Andmevaldkonna juht leitud, asus tööle 15.04.2024.</t>
  </si>
  <si>
    <t>IT arhitekti esimene konkurss kukkus läbi, sobivat kandidaati ei leitud. Alustame sihtotsinguga. Infoturbespetsialisti otsingud käivad. Soovime mõlemaid ametikohti täita esimesel võimalusel.</t>
  </si>
  <si>
    <t>Vabaõhumuuseum</t>
  </si>
  <si>
    <t>Vajalik on suurendada digitaliseerimise tehnilist võimekust ja kaasajastada KANUTi pakutav digitaliseerimiseteenus.</t>
  </si>
  <si>
    <t>Vabaõhumuuseumi (KANUTI) digitaliseerimisteenuse kaasajastamine</t>
  </si>
  <si>
    <t>Projekti käigus kaasajastatakse KANUTI digitaliseerimisteenus.</t>
  </si>
  <si>
    <t>Projekt 2023.a aastal läbi viidud ja digitaliseerimisteenus kaasajastatud.</t>
  </si>
  <si>
    <t>Tegevused lükkusid edasi tulevalt andmevaldkonna juhi otsingutega. Nüüd on ametikoht mehitatud ja saame tegevustega alustada.</t>
  </si>
  <si>
    <t>Puuduvad KuM valitsemisala ülesed ristfunktsionaalsed nõuded - toimub ühtlustamine üle valitsemisala</t>
  </si>
  <si>
    <t>KuM valitsemisala ristfunktsionaalsete nõuete  kinnitamine 2023.a jooksul</t>
  </si>
  <si>
    <t>IS Ristfunktsionaalsed nõuded = IS mittefunktsionaalsete nõuetega</t>
  </si>
  <si>
    <t>KUM valitsemisala ristfunktsionaalsed nõuded on koostatud ja vastuvõetud. Nõuded on olnud kasutusel uute hangete läbiviimisel.</t>
  </si>
  <si>
    <t>KuM valitsemisala IT teenuste korraldamise raamistiku põhimõtete  rakendamine asutustes 2023.a jooksul</t>
  </si>
  <si>
    <t>10.22 IT nõukogu poolt heaks kiidetud raamistik. 2023.a plaanis raamistikus toodud põhimõtteid rakendada meie haldusala asutustes</t>
  </si>
  <si>
    <t xml:space="preserve">Raamistiku jätkuv tutvustamine ja rakendamine haldusalas on pidev protsess. Uute arendusvajaduste kaardistamisel ja projektide planeerimisel on raamistik aktiivses kasutses, samuti jäktuvad põhimõtete rakendamised. </t>
  </si>
  <si>
    <t xml:space="preserve">Iga-aastane regulaarne tegevus. 2023. a viidi asutustes läbi kontaktkoolitusi, samuti liitusid haldusala asutused Kübertesti koolituskeskkonnaga ja töötajate osalusprotsent testis on kasvanud varasema Digitesti 20-lt pea 80-ni. </t>
  </si>
  <si>
    <t>2023. a suvel kehtestati ministri käskkirjaga haldusala infoturbe poliitika. Asutused on määranud infoturbe kontaktisikud, kellega suheldakse nii üldistel kui ka spetsiifilistes küsimustes. Infoturbeteemasid kajastatakse asutuste juhtide kohtumistel.</t>
  </si>
  <si>
    <t xml:space="preserve">2023. a uuendatud ja üle haldusala kehtestatud infoturbe poliitika lähtub E-ITSi põhimõtetest. E-ITSi-kohuslasi on teavitatud, korraldatud kohtumisi ja suunatud koolitustele. </t>
  </si>
  <si>
    <t xml:space="preserve">Infosüsteemide kaardistus viidi läbi 2023 aastal kümnes meie asutuses (viimased tööd on veel lõpetamisel: ERM ja Draamateater). 2024 aastal on kavas kaardistus läbi viia ülejäänud meie haldusala asutustes, mille jaoks korraldame riigihanke. </t>
  </si>
  <si>
    <t xml:space="preserve">2024 aata plaanid täpsustuvad. </t>
  </si>
  <si>
    <t>Uue ELTSA-RAKU andmekogu arendusprojektis on planeeritud andmejälgija kasutusele võtta.</t>
  </si>
  <si>
    <t>Kriisiolukorras ei pruugi raadiomaja olla kasutatav põhiülesande täitmiseks. Raadio meediateenuse tootmine on täna jäigalt seotud füüsilise asukohaga ja tootmiseks kasutatavate seadmetega.</t>
  </si>
  <si>
    <t>Raadio tootmise pilvepõhiseks muutmine</t>
  </si>
  <si>
    <t xml:space="preserve">Raadio meediateenuse tootmise hajutamine ja jätkusuutlik tootmine kriisiolukorras. Raadio meediateenuse tootmisprotsesse saab ellu viia asukohast ja seadmest sõltumatult. 
Võimaldab raadiosaadete ettevalmistamist, saadete montaaži ja eetri playlisti koostamist, teostada asukohast sõltumatult veebipõhise rakenduse abil.
</t>
  </si>
  <si>
    <t>Kulude prognoosimisel on tuginetud turuuuringule.</t>
  </si>
  <si>
    <t>Projektiga ei ole alustatud, kuna vajalik rahaline ressurss ERRil puudub. Rahastust ei saadud.</t>
  </si>
  <si>
    <t>Uudiste tootmise infosüsteem</t>
  </si>
  <si>
    <t>Projektiga ei ole alustatud, kuna vajalik rahaline ressurss ERRil puudub.  Rahastust ei saadud.</t>
  </si>
  <si>
    <t>Kriisiolukorras ei pruugi telemaja olla kasutatav põhiülesande täitmiseks.</t>
  </si>
  <si>
    <t>Tele väljastuse disaster recovery lahendus</t>
  </si>
  <si>
    <t>Telekanalite väljastamise hajutamine ja jätkusuutlik tootmine kriisiolukorras.</t>
  </si>
  <si>
    <t>Kriisiolukorras ei pruugi raadiomaja olla kasutatav põhiülesande täitmiseks.</t>
  </si>
  <si>
    <t>Raadio tootmise ja väljastuse disaster recovery lahendus.</t>
  </si>
  <si>
    <t>Raadiotootmise hajutamine ja jätkusuutlik tootmine kriisiolukorras.</t>
  </si>
  <si>
    <t>Raadiomaja ja uudistemaja raadio meediavõrk on poolik. IP põhine meediavõrk on olematu teistes lokatsioonides.</t>
  </si>
  <si>
    <t>Raadio IP põhise alusvõrgu II.etapp</t>
  </si>
  <si>
    <t xml:space="preserve">Raadiosignaali edastamise meediavõrgu ehitus on lõpule viidud. Meediavõrk on eelduseks raadiomeedia tootmise protsesside IP põhiseks viimisel. </t>
  </si>
  <si>
    <t>Uute tehnoloogiate kasutuselevõtuga kaasnevad toekulud.</t>
  </si>
  <si>
    <t>ERR projektide toekulud</t>
  </si>
  <si>
    <t>Uute tehnoloogiate kasutuselevõtuga kaasnevad toekulud on kaetud.</t>
  </si>
  <si>
    <t>Nõukogude-aegsete loominguliste liitude, kultuuri-ja teadusasutuste arhiivid</t>
  </si>
  <si>
    <t>2023. aastal toimusid projekti ettevalmistavad tegevused (materjalide ettevalmistamine, hankedokumentide ettevalmistamine). Projekti "Nõukogude-aegsete loominguliste​ liitude, kultuuri-ja teadusasutuste​ arhiivid" hange avaldatud 18.03.2024, pakkumuste esitamise tähtaeg 26.04.2024. Projekti "Kinnistuarhiivide kinnistusregistrid" hange avaldatud 18.03.2024, pakkumuste esitamise tähtaeg 26.04.2024.</t>
  </si>
  <si>
    <t>Kinnistuarhiivide kinnistusregistrid</t>
  </si>
  <si>
    <t>2023. aastal toimusid projektiettevalmistavad tegevused (materjalide ettevalmistamine, hankedokumentide ettevalmistamine). Projekti "Kinnistuarhiivide kinnistusregistrid" hange avaldatud 18.03.2024, pakkumuste esitamise tähtaeg 26.04.2024.</t>
  </si>
  <si>
    <t>2023. aastal toimusid projekti ettevalmistavad tegevused (materjalide ettevalmistamine, hankedokumentide ettevalmistamine). Projekti "Riigikogu istungite videosalvestised​ 1999-2012 VHSidel" hanke ettevalmistamine jätkub. Hange plaanis avaldada millal?</t>
  </si>
  <si>
    <t xml:space="preserve">Väliseesti kirjandus (sh perioodika ja teaduslikud separaadid) </t>
  </si>
  <si>
    <t>2023 eelarve täitmine</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</si>
  <si>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</si>
  <si>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</si>
  <si>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</si>
  <si>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</si>
  <si>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</si>
  <si>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</si>
  <si>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</si>
  <si>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</si>
  <si>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</si>
  <si>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</si>
  <si>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</si>
  <si>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</si>
  <si>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</si>
  <si>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</si>
  <si>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</si>
  <si>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</si>
  <si>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</si>
  <si>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</si>
  <si>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</si>
  <si>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Raleway"/>
        <charset val="186"/>
      </rPr>
      <t>​</t>
    </r>
  </si>
  <si>
    <r>
      <t>01.01.2025*</t>
    </r>
    <r>
      <rPr>
        <sz val="11"/>
        <color rgb="FF000000"/>
        <rFont val="Raleway"/>
        <charset val="186"/>
      </rPr>
      <t>​</t>
    </r>
  </si>
  <si>
    <r>
      <t>01.01.2026*</t>
    </r>
    <r>
      <rPr>
        <sz val="11"/>
        <color rgb="FF000000"/>
        <rFont val="Raleway"/>
        <charset val="186"/>
      </rPr>
      <t>​</t>
    </r>
  </si>
  <si>
    <r>
      <t>01.01.2027*</t>
    </r>
    <r>
      <rPr>
        <sz val="11"/>
        <color rgb="FF000000"/>
        <rFont val="Raleway"/>
        <charset val="186"/>
      </rPr>
      <t>​</t>
    </r>
  </si>
  <si>
    <t>Töötajate arv ​</t>
  </si>
  <si>
    <t>Kasv​ (%, võrrelduna eelmise aastaga)</t>
  </si>
  <si>
    <t>* Prognoos</t>
  </si>
  <si>
    <t>Sisaldab järgmiste asutuste andmeid: KuM, RaRa, ERR, MKA ja INSA. Lisaks on ERR-l väljastus-, video- ja uudiste rezii osakonna töötajad ca 50). Väiksemates meie asutustes täidetakse IKT/digi rolle üldjuhul põhülesannete kõrvalt ja koondnumbrites on arvestatud FTE.</t>
  </si>
  <si>
    <t>Seisuga 01.01.2023</t>
  </si>
  <si>
    <t>Seisuga 01.01.2024</t>
  </si>
  <si>
    <t>IKT Personal</t>
  </si>
  <si>
    <t>Täidetud/olemas</t>
  </si>
  <si>
    <t>Täitmata</t>
  </si>
  <si>
    <t>Projektijuhtimine</t>
  </si>
  <si>
    <t>Helpdesk</t>
  </si>
  <si>
    <t>Testimine</t>
  </si>
  <si>
    <t xml:space="preserve">Tootejuhtimine </t>
  </si>
  <si>
    <t>Teenuste tugi</t>
  </si>
  <si>
    <t>Infoturbejuhtimine</t>
  </si>
  <si>
    <t>IT juhtimine</t>
  </si>
  <si>
    <t>Andmehaldus</t>
  </si>
  <si>
    <t>IT spetsialist</t>
  </si>
  <si>
    <t>IT administraator, haldur, vanemspetsialist</t>
  </si>
  <si>
    <t>Tarkvaraarendaja</t>
  </si>
  <si>
    <t>IT arhitekt</t>
  </si>
  <si>
    <t>andmekorraldusanalüütik​</t>
  </si>
  <si>
    <t>andmekvaliteedi kontrolli spetsialist​</t>
  </si>
  <si>
    <t>andmelao arendaja​</t>
  </si>
  <si>
    <t>jurist - ei ole kavas lähiajal täita​</t>
  </si>
  <si>
    <t>projektijuht​</t>
  </si>
  <si>
    <t>rakenduste administraator​</t>
  </si>
  <si>
    <t>riskijuht​</t>
  </si>
  <si>
    <t>süsteemiadministraator​</t>
  </si>
  <si>
    <t>tarkvara arhitekt​</t>
  </si>
  <si>
    <t>testija​</t>
  </si>
  <si>
    <t>tooteomanik​</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</si>
  <si>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</si>
  <si>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</si>
  <si>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</si>
  <si>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</si>
  <si>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</si>
  <si>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</si>
  <si>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</si>
  <si>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</si>
  <si>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</si>
  <si>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</si>
  <si>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Andmehaldur</t>
  </si>
  <si>
    <t>Süsteemiadministratsioon</t>
  </si>
  <si>
    <t>Andmeteadur (teabe)</t>
  </si>
  <si>
    <t>Süsteemianalüüs</t>
  </si>
  <si>
    <t>DEVOPS</t>
  </si>
  <si>
    <t>Süsteemiarhitektuur</t>
  </si>
  <si>
    <t>Haldus</t>
  </si>
  <si>
    <t>Tarkvara programmeerimine</t>
  </si>
  <si>
    <t>infoturbe logianalüütik</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</si>
  <si>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</si>
  <si>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</si>
  <si>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</si>
  <si>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</si>
  <si>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</si>
  <si>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</si>
  <si>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</si>
  <si>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</si>
  <si>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</si>
  <si>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</si>
  <si>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</si>
  <si>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</si>
  <si>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</si>
  <si>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</si>
  <si>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Kultuuriministeeriumi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</si>
  <si>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</si>
  <si>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</si>
  <si>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</si>
  <si>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</si>
  <si>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</si>
  <si>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</si>
  <si>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</si>
  <si>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Kultuuriministeerium</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</si>
  <si>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</si>
  <si>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</si>
  <si>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</si>
  <si>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</si>
  <si>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</si>
  <si>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</si>
  <si>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</si>
  <si>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</si>
  <si>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</si>
  <si>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</si>
  <si>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</si>
  <si>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</si>
  <si>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Valdkondliku digipöörde tegevuskava – Kultuuriministeerium</t>
  </si>
  <si>
    <r>
      <t>Digipöörde eesmärk:</t>
    </r>
    <r>
      <rPr>
        <sz val="11"/>
        <color theme="1"/>
        <rFont val="Calibri"/>
        <family val="2"/>
        <charset val="186"/>
        <scheme val="minor"/>
      </rPr>
      <t> </t>
    </r>
  </si>
  <si>
    <t>Digipöörde eesmärk: Eesti kultuur on kõigile huvilistele digitaalsena kättesaadav, mugavalt kasutatav ning turvaliselt säilitatud. Jätkame pärandi massdigimist koordineeritult ja lähtuvalt kasutajate huvidest. Arendame kultuuri kättesaadavust, et see oleks elavas kasutuses ja inimestele oluline. Tagame pärandi säilimise tulevastele põlvedele, olenamata kriisidest maailmas.​
SF vahendeid kasutatakse nt üleriigilise raamatukogusüsteemi loomiseks; dokumendi- ja filmipärandi digiteerimiseks; kataloogimise ja märksõnastamise krati arenduseks ning tööjõukulude katmiseks.​</t>
  </si>
  <si>
    <r>
      <t>Digipöörde tegevuskava eesmärk:</t>
    </r>
    <r>
      <rPr>
        <sz val="11"/>
        <color theme="1"/>
        <rFont val="Calibri"/>
        <family val="2"/>
        <charset val="186"/>
        <scheme val="minor"/>
      </rPr>
      <t> </t>
    </r>
  </si>
  <si>
    <t xml:space="preserve">Kultuuriministeeriumi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</si>
  <si>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</si>
  <si>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</si>
  <si>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</si>
  <si>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</si>
  <si>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</si>
  <si>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</si>
  <si>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Kultuuriministeerium i valdkondliku digipöörde 2023-2025 
SF 2021-2027 toetuse summa koos käibemaksuga</t>
  </si>
  <si>
    <r>
      <t>2025</t>
    </r>
    <r>
      <rPr>
        <sz val="11"/>
        <rFont val="Calibri"/>
        <family val="2"/>
        <charset val="186"/>
        <scheme val="minor"/>
      </rPr>
      <t> </t>
    </r>
  </si>
  <si>
    <t>Ministeerium (elluviija) /
partner</t>
  </si>
  <si>
    <t>Rahastuse allikas / meetme tegevus (SF)</t>
  </si>
  <si>
    <t>2023 kokku</t>
  </si>
  <si>
    <t>2024 kokku</t>
  </si>
  <si>
    <t>2025 kokku</t>
  </si>
  <si>
    <t>(EA konto)</t>
  </si>
  <si>
    <t>KOKKU</t>
  </si>
  <si>
    <t>Summa koos käibemaksuga:</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</si>
  <si>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</si>
  <si>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</si>
  <si>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</si>
  <si>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</si>
  <si>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</si>
  <si>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</si>
  <si>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</si>
  <si>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</si>
  <si>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</si>
  <si>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</si>
  <si>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</si>
  <si>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</si>
  <si>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</si>
  <si>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</si>
  <si>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</si>
  <si>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</si>
  <si>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</si>
  <si>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</si>
  <si>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</si>
  <si>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</si>
  <si>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</si>
  <si>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</si>
  <si>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</si>
  <si>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</si>
  <si>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</si>
  <si>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 </t>
  </si>
  <si>
    <t>jah</t>
  </si>
  <si>
    <t>olemas</t>
  </si>
  <si>
    <t>avalik-õiguslike juriidiliste isikute töötajate palgad ei ole avalik info</t>
  </si>
  <si>
    <t>ei</t>
  </si>
  <si>
    <t>tähtajatu</t>
  </si>
  <si>
    <t>Telesaadete kaugsalvestusteenus (3. ja 4. stuudio)</t>
  </si>
  <si>
    <t>Tele tootmise infosüsteem III etapp</t>
  </si>
  <si>
    <t xml:space="preserve">Tootejuhtimine* </t>
  </si>
  <si>
    <t>Jah</t>
  </si>
  <si>
    <t>Projekti kestuse ajaks</t>
  </si>
  <si>
    <t>Teenuseomanik (ELTSA esindaja)</t>
  </si>
  <si>
    <t>Teenuseomanik (RAKU esindaja)</t>
  </si>
  <si>
    <t>Teenuseomanik (KuM esindaja)</t>
  </si>
  <si>
    <t>Töökoormus ja kulu varieerub projekti vältel</t>
  </si>
  <si>
    <t>SF</t>
  </si>
  <si>
    <t>Äri- ja süsteemianalüütik</t>
  </si>
  <si>
    <t>Arenduspartneri projektijuht</t>
  </si>
  <si>
    <t>Tarkvara arendaja</t>
  </si>
  <si>
    <t>UI analüütik</t>
  </si>
  <si>
    <t>Sisutöörühm - MKA muuseumivaldkonna tiim, muuseumitöötajad ja -eksperdid</t>
  </si>
  <si>
    <t>Arenduspartneri meeskonna koosseis selgub hanke läbiviimise järel</t>
  </si>
  <si>
    <t>Hoolduspartneri tiim - RIK</t>
  </si>
  <si>
    <r>
      <rPr>
        <b/>
        <i/>
        <sz val="11"/>
        <color rgb="FF000000"/>
        <rFont val="Calibri"/>
        <family val="2"/>
        <charset val="186"/>
        <scheme val="minor"/>
      </rPr>
      <t>RaRa uue digitaalarhiivi kasutajakeskkonna loomine </t>
    </r>
    <r>
      <rPr>
        <i/>
        <sz val="11"/>
        <color rgb="FF000000"/>
        <rFont val="Calibri"/>
        <family val="2"/>
        <charset val="186"/>
        <scheme val="minor"/>
      </rPr>
      <t>(sama personal jätkab ka jätkuprojekti juures)</t>
    </r>
  </si>
  <si>
    <t>On olemas</t>
  </si>
  <si>
    <t>1-Infoturbespetsialist</t>
  </si>
  <si>
    <t xml:space="preserve">Isikute teenindamine ja taotluste menetlemine </t>
  </si>
  <si>
    <t>pikaajaline leping</t>
  </si>
  <si>
    <t>Raamatukogude juhtimistöölaud</t>
  </si>
  <si>
    <t>kogu digipöörde ajaks</t>
  </si>
  <si>
    <t>Tuleb värvata</t>
  </si>
  <si>
    <t>1.infoturbe logianalüütik</t>
  </si>
  <si>
    <t>IT üldtööd</t>
  </si>
  <si>
    <t>Registripidamine</t>
  </si>
  <si>
    <t>JAH</t>
  </si>
  <si>
    <t xml:space="preserve">On olemas </t>
  </si>
  <si>
    <t>Olemasolev töötaja</t>
  </si>
  <si>
    <t>on olemas</t>
  </si>
  <si>
    <t>projekti ajaks</t>
  </si>
  <si>
    <t>Ühtne üleriigiline raamatukogusüsteem</t>
  </si>
  <si>
    <t>Arenduskeskuse juht</t>
  </si>
  <si>
    <t>baaseelarve</t>
  </si>
  <si>
    <t>Tooteomanik</t>
  </si>
  <si>
    <t>Raamatukogusüsteemi ekspert</t>
  </si>
  <si>
    <t>Projektijuht</t>
  </si>
  <si>
    <t>1 aasta, e-kataloogi hanke läbiviimise ja migratsiooni etapis vajalik tööjõud</t>
  </si>
  <si>
    <t>E-kataloogi tooteomanik</t>
  </si>
  <si>
    <t>Peakasutaja</t>
  </si>
  <si>
    <t>Raamatukogusüsteemi peakasutaja</t>
  </si>
  <si>
    <t>Raamatukogusüsteemi tooteomanik</t>
  </si>
  <si>
    <t>Andmeanalüütik</t>
  </si>
  <si>
    <t>Andmenalüüs ja -seire</t>
  </si>
  <si>
    <t>2 aastat 0,5 koormusega, raamatukogusüsteemi hanke läbiviimise ja migratsiooni etapis vajalik tööjõud</t>
  </si>
  <si>
    <t>Kultuuripärandi digiteerimine (Nõukogude-aegsete loominguliste liitude, kultuuri-ja teadusasutuste arhiivid)</t>
  </si>
  <si>
    <t>On olemas*</t>
  </si>
  <si>
    <t>Ei</t>
  </si>
  <si>
    <t>Digiteerimise tegevusi tegeva partneri meeskonna koosseis selgub hanke läbiviimise järel</t>
  </si>
  <si>
    <t>Kultuuripärandi digiteerimine (Kinnistuarhiivide kinnistusregistrid)</t>
  </si>
  <si>
    <t>Kultuuripärandi digiteerimine (Riigikogu istungite videosalvestised 1999-2012 VHSidel)</t>
  </si>
  <si>
    <t xml:space="preserve">Kultuuripärandi digiteerimine (Väliseesti kirjandus (sh perioodika ja teaduslikud separaadid) </t>
  </si>
  <si>
    <t>* Tegelikkuses vajalik projektijuhi roll, mida valikus ei olnud.</t>
  </si>
  <si>
    <t>* Projekti hakkab vedama asutuses olemasolev projektijuht, kes vabastatakse projekti toimumise ajaks muudest tööülesannetest ning kellele makstakse töötasu projekti vahenditest.</t>
  </si>
  <si>
    <t>Tulenevalt majandus- ja infotehnoloogiaministri 25. augusti 2023. a käskkirjast „Toetuse andmise tingimused valdkondlike digipöörete toetamiseks“ allkirjastan/kinnitan Kultuuriministeeriumi digipöörde tegevuskava.</t>
  </si>
  <si>
    <t>Liisa-Ly Pakosta</t>
  </si>
  <si>
    <t>justiits- ja digiminister</t>
  </si>
  <si>
    <r>
      <t>(allkirjastatud digitaalselt)</t>
    </r>
    <r>
      <rPr>
        <sz val="9"/>
        <color rgb="FF000000"/>
        <rFont val="Calibri"/>
        <family val="2"/>
        <charset val="186"/>
        <scheme val="minor"/>
      </rPr>
      <t> </t>
    </r>
  </si>
  <si>
    <t xml:space="preserve">Veerg „Algatuse nimi“: 
* - Enne algatusega/tegevusega alustamist tuleb läbida arhitektuuripaneel. 
** - Enne algatusega/tegevusega alustamist tuleb läbida äripaneel. 
Veerg: „Rahastuse allikas / meetme tegevus (SF)“: 
1 – (Baaseelarve, RES, reserv SR) – summad kajastatakse ilma käibemaksuta ja käibemaks arvestatakse juurde riigieelarvest; 
2 – (SF, nii 14-20, kui 21-27) – toetuse summad kajastatakse koos käibemaksuga, käibemaks on osa toetusest; 
3 – (RRF) – toetuse summad kajastatakse ilma käibemaksuta, käibemaks lisandub toetusele.  
4 – (muu rahastus) – summad kajastatakse ilma käibemaksuta, elluviija vastutab sõltuvalt rahastusest õige käibemaksu vormi rakendamise eest.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</si>
</sst>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6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b/>
      <u/>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b/>
      <sz val="11"/>
      <name val="Calibri"/>
      <family val="2"/>
      <charset val="186"/>
      <scheme val="minor"/>
    </font>
    <font>
      <b/>
      <i/>
      <sz val="11"/>
      <name val="Calibri"/>
      <family val="2"/>
      <charset val="186"/>
    </font>
    <font>
      <b/>
      <i/>
      <sz val="11"/>
      <color rgb="FF000000"/>
      <name val="Calibri"/>
      <family val="2"/>
      <charset val="186"/>
      <scheme val="minor"/>
    </font>
    <font>
      <i/>
      <sz val="11"/>
      <name val="Calibri"/>
      <family val="2"/>
      <charset val="186"/>
      <scheme val="minor"/>
    </font>
    <font>
      <sz val="11"/>
      <color rgb="FFFF0000"/>
      <name val="Calibri"/>
      <family val="2"/>
      <charset val="186"/>
    </font>
    <font>
      <sz val="11"/>
      <color rgb="FF000000"/>
      <name val="Calibri"/>
      <family val="2"/>
      <charset val="186"/>
    </font>
    <font>
      <sz val="11"/>
      <color rgb="FF444444"/>
      <name val="Calibri"/>
      <family val="2"/>
      <charset val="1"/>
    </font>
    <font>
      <sz val="11"/>
      <color rgb="FFFF0000"/>
      <name val="Calibri"/>
      <family val="2"/>
      <scheme val="minor"/>
    </font>
    <font>
      <sz val="12"/>
      <name val="Calibri"/>
      <family val="2"/>
      <charset val="186"/>
      <scheme val="minor"/>
    </font>
    <font>
      <sz val="12"/>
      <color rgb="FF000000"/>
      <name val="Calibri"/>
      <family val="2"/>
      <charset val="186"/>
    </font>
    <font>
      <sz val="11"/>
      <color rgb="FF242424"/>
      <name val="Aptos Narrow"/>
      <family val="2"/>
    </font>
    <font>
      <sz val="11"/>
      <color rgb="FF000000"/>
      <name val="Calibri"/>
      <family val="2"/>
      <charset val="186"/>
    </font>
    <font>
      <b/>
      <i/>
      <sz val="11"/>
      <color rgb="FF000000"/>
      <name val="Calibri"/>
      <family val="2"/>
      <charset val="186"/>
      <scheme val="minor"/>
    </font>
    <font>
      <b/>
      <sz val="9"/>
      <name val="Calibri"/>
      <family val="2"/>
      <charset val="186"/>
      <scheme val="minor"/>
    </font>
    <font>
      <i/>
      <sz val="9"/>
      <name val="Calibri"/>
      <family val="2"/>
      <charset val="186"/>
      <scheme val="minor"/>
    </font>
    <font>
      <i/>
      <sz val="9"/>
      <color rgb="FF000000"/>
      <name val="Calibri"/>
      <family val="2"/>
      <charset val="186"/>
      <scheme val="minor"/>
    </font>
    <font>
      <sz val="9"/>
      <color rgb="FF000000"/>
      <name val="Calibri"/>
      <family val="2"/>
      <charset val="186"/>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rgb="FFA9D08E"/>
        <bgColor rgb="FF000000"/>
      </patternFill>
    </fill>
    <fill>
      <patternFill patternType="solid">
        <fgColor rgb="FFE7E6E6"/>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11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s>
  <cellStyleXfs count="2">
    <xf numFmtId="0" fontId="0" fillId="0" borderId="0"/>
    <xf numFmtId="0" fontId="22" fillId="5" borderId="0" applyNumberFormat="0" applyBorder="0" applyAlignment="0" applyProtection="0"/>
  </cellStyleXfs>
  <cellXfs count="719">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19" fillId="0" borderId="17" xfId="0" applyNumberFormat="1" applyFont="1" applyBorder="1" applyAlignment="1">
      <alignment vertical="top"/>
    </xf>
    <xf numFmtId="3" fontId="19" fillId="0" borderId="15" xfId="0" applyNumberFormat="1" applyFont="1" applyBorder="1" applyAlignment="1">
      <alignment vertical="top"/>
    </xf>
    <xf numFmtId="3" fontId="19" fillId="0" borderId="35" xfId="0" applyNumberFormat="1" applyFont="1" applyBorder="1" applyAlignment="1">
      <alignment vertical="top"/>
    </xf>
    <xf numFmtId="0" fontId="1" fillId="0" borderId="0" xfId="0" applyFont="1" applyAlignment="1">
      <alignment vertical="top"/>
    </xf>
    <xf numFmtId="0" fontId="18"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4" fillId="0" borderId="52" xfId="0" applyFont="1" applyBorder="1" applyAlignment="1">
      <alignment horizontal="center" vertical="top" wrapText="1"/>
    </xf>
    <xf numFmtId="0" fontId="24" fillId="0" borderId="34" xfId="0" applyFont="1" applyBorder="1" applyAlignment="1">
      <alignment horizontal="left" vertical="top" wrapText="1"/>
    </xf>
    <xf numFmtId="3" fontId="24" fillId="0" borderId="33" xfId="0" applyNumberFormat="1" applyFont="1" applyBorder="1" applyAlignment="1">
      <alignment vertical="top" wrapText="1"/>
    </xf>
    <xf numFmtId="3" fontId="24" fillId="0" borderId="54" xfId="0" applyNumberFormat="1" applyFont="1" applyBorder="1" applyAlignment="1">
      <alignment vertical="top" wrapText="1"/>
    </xf>
    <xf numFmtId="0" fontId="0" fillId="0" borderId="55" xfId="0" applyBorder="1" applyAlignment="1">
      <alignment vertical="top" wrapText="1"/>
    </xf>
    <xf numFmtId="3" fontId="25"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5" xfId="0" applyFont="1" applyBorder="1" applyAlignment="1">
      <alignment horizontal="center" vertical="top" wrapText="1"/>
    </xf>
    <xf numFmtId="0" fontId="24" fillId="0" borderId="23" xfId="0" applyFont="1" applyBorder="1" applyAlignment="1">
      <alignment horizontal="left" vertical="top" wrapText="1"/>
    </xf>
    <xf numFmtId="0" fontId="11" fillId="0" borderId="57" xfId="0" applyFont="1" applyBorder="1" applyAlignment="1">
      <alignment horizontal="center" vertical="top" wrapText="1"/>
    </xf>
    <xf numFmtId="0" fontId="11" fillId="0" borderId="58"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3" fillId="0" borderId="0" xfId="0" applyFont="1" applyAlignment="1">
      <alignment vertical="top" wrapText="1"/>
    </xf>
    <xf numFmtId="0" fontId="26" fillId="0" borderId="0" xfId="0" applyFont="1" applyAlignment="1">
      <alignment vertical="top"/>
    </xf>
    <xf numFmtId="0" fontId="30" fillId="6" borderId="61" xfId="0" applyFont="1" applyFill="1" applyBorder="1" applyAlignment="1">
      <alignment vertical="top" wrapText="1"/>
    </xf>
    <xf numFmtId="0" fontId="32" fillId="7" borderId="62" xfId="0" applyFont="1" applyFill="1" applyBorder="1" applyAlignment="1">
      <alignment vertical="top"/>
    </xf>
    <xf numFmtId="0" fontId="30" fillId="7" borderId="62" xfId="0" applyFont="1" applyFill="1" applyBorder="1" applyAlignment="1">
      <alignment vertical="top"/>
    </xf>
    <xf numFmtId="3" fontId="32" fillId="7" borderId="63" xfId="0" applyNumberFormat="1" applyFont="1" applyFill="1" applyBorder="1" applyAlignment="1">
      <alignment vertical="top"/>
    </xf>
    <xf numFmtId="0" fontId="32" fillId="7" borderId="66" xfId="0" applyFont="1" applyFill="1" applyBorder="1" applyAlignment="1">
      <alignment vertical="top"/>
    </xf>
    <xf numFmtId="3" fontId="32" fillId="7" borderId="65" xfId="0" applyNumberFormat="1" applyFont="1" applyFill="1" applyBorder="1" applyAlignment="1">
      <alignment vertical="top"/>
    </xf>
    <xf numFmtId="3" fontId="30" fillId="7" borderId="27" xfId="0" applyNumberFormat="1" applyFont="1" applyFill="1" applyBorder="1" applyAlignment="1">
      <alignment vertical="top"/>
    </xf>
    <xf numFmtId="0" fontId="32" fillId="7" borderId="27" xfId="0" applyFont="1" applyFill="1" applyBorder="1" applyAlignment="1">
      <alignment vertical="top"/>
    </xf>
    <xf numFmtId="0" fontId="30" fillId="7" borderId="27" xfId="0" applyFont="1" applyFill="1" applyBorder="1" applyAlignment="1">
      <alignment vertical="top"/>
    </xf>
    <xf numFmtId="0" fontId="32" fillId="7" borderId="67" xfId="0" applyFont="1" applyFill="1" applyBorder="1" applyAlignment="1">
      <alignment vertical="top"/>
    </xf>
    <xf numFmtId="0" fontId="32" fillId="7" borderId="29" xfId="0" applyFont="1" applyFill="1" applyBorder="1" applyAlignment="1">
      <alignment vertical="top"/>
    </xf>
    <xf numFmtId="0" fontId="32" fillId="7" borderId="55" xfId="0" applyFont="1" applyFill="1" applyBorder="1" applyAlignment="1">
      <alignment vertical="top"/>
    </xf>
    <xf numFmtId="0" fontId="32" fillId="7" borderId="59" xfId="0" applyFont="1" applyFill="1" applyBorder="1" applyAlignment="1">
      <alignment vertical="top"/>
    </xf>
    <xf numFmtId="0" fontId="0" fillId="0" borderId="55" xfId="0" applyBorder="1" applyAlignment="1">
      <alignment vertical="top"/>
    </xf>
    <xf numFmtId="0" fontId="0" fillId="0" borderId="13" xfId="0" applyBorder="1" applyAlignment="1">
      <alignment horizontal="left" vertical="top"/>
    </xf>
    <xf numFmtId="0" fontId="0" fillId="0" borderId="55"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2" xfId="0" applyNumberFormat="1" applyFont="1" applyFill="1" applyBorder="1" applyAlignment="1">
      <alignment horizontal="center" vertical="top" wrapText="1"/>
    </xf>
    <xf numFmtId="0" fontId="35" fillId="0" borderId="40" xfId="0" applyFont="1" applyBorder="1" applyAlignment="1">
      <alignment vertical="top" wrapText="1"/>
    </xf>
    <xf numFmtId="0" fontId="35" fillId="0" borderId="73" xfId="0" applyFont="1" applyBorder="1" applyAlignment="1">
      <alignment vertical="top" wrapText="1"/>
    </xf>
    <xf numFmtId="0" fontId="4" fillId="0" borderId="0" xfId="0" applyFont="1" applyAlignment="1">
      <alignment vertical="top"/>
    </xf>
    <xf numFmtId="3" fontId="28" fillId="7" borderId="27" xfId="0" applyNumberFormat="1" applyFont="1" applyFill="1" applyBorder="1" applyAlignment="1">
      <alignment vertical="top"/>
    </xf>
    <xf numFmtId="0" fontId="27" fillId="7" borderId="27" xfId="0" applyFont="1" applyFill="1" applyBorder="1" applyAlignment="1">
      <alignment vertical="top"/>
    </xf>
    <xf numFmtId="0" fontId="28" fillId="7" borderId="27" xfId="0" applyFont="1" applyFill="1" applyBorder="1" applyAlignment="1">
      <alignment vertical="top"/>
    </xf>
    <xf numFmtId="0" fontId="27" fillId="7" borderId="67" xfId="0" applyFont="1" applyFill="1" applyBorder="1" applyAlignment="1">
      <alignment vertical="top"/>
    </xf>
    <xf numFmtId="0" fontId="27" fillId="7" borderId="29" xfId="0" applyFont="1" applyFill="1" applyBorder="1" applyAlignment="1">
      <alignment vertical="top"/>
    </xf>
    <xf numFmtId="3" fontId="27" fillId="7" borderId="63" xfId="0" applyNumberFormat="1" applyFont="1" applyFill="1" applyBorder="1" applyAlignment="1">
      <alignment vertical="top"/>
    </xf>
    <xf numFmtId="0" fontId="27" fillId="7" borderId="55" xfId="0" applyFont="1" applyFill="1" applyBorder="1" applyAlignment="1">
      <alignment vertical="top"/>
    </xf>
    <xf numFmtId="0" fontId="27" fillId="7" borderId="66" xfId="0" applyFont="1" applyFill="1" applyBorder="1" applyAlignment="1">
      <alignment vertical="top"/>
    </xf>
    <xf numFmtId="3" fontId="27" fillId="7" borderId="65" xfId="0" applyNumberFormat="1" applyFont="1" applyFill="1" applyBorder="1" applyAlignment="1">
      <alignment vertical="top"/>
    </xf>
    <xf numFmtId="0" fontId="27" fillId="7" borderId="59" xfId="0" applyFont="1" applyFill="1" applyBorder="1" applyAlignment="1">
      <alignment vertical="top"/>
    </xf>
    <xf numFmtId="3" fontId="28" fillId="7" borderId="62" xfId="0" applyNumberFormat="1" applyFont="1" applyFill="1" applyBorder="1" applyAlignment="1">
      <alignment vertical="top"/>
    </xf>
    <xf numFmtId="0" fontId="28" fillId="7" borderId="62" xfId="0" applyFont="1" applyFill="1" applyBorder="1" applyAlignment="1">
      <alignment vertical="top"/>
    </xf>
    <xf numFmtId="3" fontId="27" fillId="7" borderId="57" xfId="0" applyNumberFormat="1" applyFont="1" applyFill="1" applyBorder="1" applyAlignment="1">
      <alignment vertical="top"/>
    </xf>
    <xf numFmtId="0" fontId="27" fillId="7" borderId="57" xfId="0" applyFont="1" applyFill="1" applyBorder="1" applyAlignment="1">
      <alignment vertical="top"/>
    </xf>
    <xf numFmtId="0" fontId="27" fillId="7" borderId="58" xfId="0" applyFont="1" applyFill="1" applyBorder="1" applyAlignment="1">
      <alignment vertical="top"/>
    </xf>
    <xf numFmtId="3" fontId="27" fillId="7" borderId="66" xfId="0" applyNumberFormat="1" applyFont="1" applyFill="1" applyBorder="1" applyAlignment="1">
      <alignment vertical="top"/>
    </xf>
    <xf numFmtId="3" fontId="28" fillId="7" borderId="45" xfId="0" applyNumberFormat="1" applyFont="1" applyFill="1" applyBorder="1" applyAlignment="1">
      <alignment vertical="top"/>
    </xf>
    <xf numFmtId="0" fontId="27" fillId="7" borderId="79" xfId="0" applyFont="1" applyFill="1" applyBorder="1" applyAlignment="1">
      <alignment vertical="top"/>
    </xf>
    <xf numFmtId="3" fontId="27" fillId="7" borderId="80" xfId="0" applyNumberFormat="1" applyFont="1" applyFill="1" applyBorder="1" applyAlignment="1">
      <alignment vertical="top"/>
    </xf>
    <xf numFmtId="0" fontId="27" fillId="7" borderId="81" xfId="0" applyFont="1" applyFill="1" applyBorder="1" applyAlignment="1">
      <alignment vertical="top"/>
    </xf>
    <xf numFmtId="3" fontId="27" fillId="7" borderId="2" xfId="0" applyNumberFormat="1" applyFont="1" applyFill="1" applyBorder="1" applyAlignment="1">
      <alignment vertical="top"/>
    </xf>
    <xf numFmtId="0" fontId="27" fillId="7" borderId="74" xfId="0" applyFont="1" applyFill="1" applyBorder="1" applyAlignment="1">
      <alignment vertical="top"/>
    </xf>
    <xf numFmtId="0" fontId="0" fillId="0" borderId="79" xfId="0" applyBorder="1" applyAlignment="1">
      <alignment vertical="top"/>
    </xf>
    <xf numFmtId="0" fontId="0" fillId="0" borderId="44" xfId="0" applyBorder="1" applyAlignment="1">
      <alignment vertical="top"/>
    </xf>
    <xf numFmtId="0" fontId="27" fillId="7" borderId="44" xfId="0" applyFont="1" applyFill="1" applyBorder="1" applyAlignment="1">
      <alignment vertical="top"/>
    </xf>
    <xf numFmtId="0" fontId="28" fillId="7" borderId="79" xfId="0" applyFont="1" applyFill="1" applyBorder="1" applyAlignment="1">
      <alignment vertical="top"/>
    </xf>
    <xf numFmtId="3" fontId="24" fillId="0" borderId="30" xfId="0" applyNumberFormat="1" applyFont="1" applyBorder="1" applyAlignment="1">
      <alignment horizontal="right" vertical="top" wrapText="1"/>
    </xf>
    <xf numFmtId="3" fontId="24" fillId="0" borderId="36" xfId="0" applyNumberFormat="1" applyFont="1" applyBorder="1" applyAlignment="1">
      <alignment horizontal="right" vertical="top" wrapText="1"/>
    </xf>
    <xf numFmtId="0" fontId="36" fillId="0" borderId="53" xfId="0" applyFont="1" applyBorder="1" applyAlignment="1">
      <alignment vertical="top" wrapText="1"/>
    </xf>
    <xf numFmtId="0" fontId="37" fillId="0" borderId="5" xfId="0" applyFont="1" applyBorder="1" applyAlignment="1">
      <alignment vertical="top" wrapText="1"/>
    </xf>
    <xf numFmtId="0" fontId="37"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3" fontId="2" fillId="3" borderId="16" xfId="0" applyNumberFormat="1" applyFont="1" applyFill="1" applyBorder="1" applyAlignment="1">
      <alignment horizontal="right" vertical="top" wrapText="1"/>
    </xf>
    <xf numFmtId="0" fontId="39"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3" fontId="27" fillId="7" borderId="71" xfId="0" applyNumberFormat="1" applyFont="1" applyFill="1" applyBorder="1" applyAlignment="1">
      <alignment vertical="top"/>
    </xf>
    <xf numFmtId="0" fontId="27" fillId="7" borderId="75" xfId="0" applyFont="1" applyFill="1" applyBorder="1" applyAlignment="1">
      <alignment vertical="top"/>
    </xf>
    <xf numFmtId="3" fontId="28" fillId="7" borderId="70" xfId="0" applyNumberFormat="1" applyFont="1" applyFill="1" applyBorder="1" applyAlignment="1">
      <alignment vertical="top"/>
    </xf>
    <xf numFmtId="0" fontId="27" fillId="7" borderId="82" xfId="0" applyFont="1" applyFill="1" applyBorder="1" applyAlignment="1">
      <alignment vertical="top"/>
    </xf>
    <xf numFmtId="0" fontId="0" fillId="0" borderId="83" xfId="0" applyBorder="1" applyAlignment="1">
      <alignment vertical="top"/>
    </xf>
    <xf numFmtId="0" fontId="43" fillId="0" borderId="0" xfId="0" applyFont="1" applyAlignment="1">
      <alignment horizontal="left" vertical="top" wrapText="1"/>
    </xf>
    <xf numFmtId="0" fontId="0" fillId="0" borderId="11" xfId="0" applyBorder="1" applyAlignment="1">
      <alignment vertical="top"/>
    </xf>
    <xf numFmtId="3" fontId="32" fillId="7" borderId="80" xfId="0" applyNumberFormat="1" applyFont="1" applyFill="1" applyBorder="1" applyAlignment="1">
      <alignment vertical="top"/>
    </xf>
    <xf numFmtId="3" fontId="30" fillId="7" borderId="80" xfId="0" applyNumberFormat="1" applyFont="1" applyFill="1" applyBorder="1" applyAlignment="1">
      <alignment vertical="top"/>
    </xf>
    <xf numFmtId="3" fontId="30" fillId="7" borderId="70" xfId="0" applyNumberFormat="1" applyFont="1" applyFill="1" applyBorder="1" applyAlignment="1">
      <alignment vertical="top"/>
    </xf>
    <xf numFmtId="0" fontId="32" fillId="3" borderId="0" xfId="0" applyFont="1" applyFill="1" applyAlignment="1">
      <alignment vertical="top"/>
    </xf>
    <xf numFmtId="0" fontId="0" fillId="3" borderId="43" xfId="0" applyFill="1" applyBorder="1" applyAlignment="1">
      <alignment vertical="top"/>
    </xf>
    <xf numFmtId="3" fontId="30" fillId="7" borderId="44" xfId="0" applyNumberFormat="1" applyFont="1" applyFill="1" applyBorder="1" applyAlignment="1">
      <alignment vertical="top"/>
    </xf>
    <xf numFmtId="0" fontId="32" fillId="7" borderId="44" xfId="0" applyFont="1" applyFill="1" applyBorder="1" applyAlignment="1">
      <alignment vertical="top"/>
    </xf>
    <xf numFmtId="0" fontId="30" fillId="7" borderId="44" xfId="0" applyFont="1" applyFill="1" applyBorder="1" applyAlignment="1">
      <alignment vertical="top"/>
    </xf>
    <xf numFmtId="3" fontId="30" fillId="7" borderId="45" xfId="0" applyNumberFormat="1" applyFont="1" applyFill="1" applyBorder="1" applyAlignment="1">
      <alignment vertical="top"/>
    </xf>
    <xf numFmtId="0" fontId="0" fillId="3" borderId="80" xfId="0" applyFill="1" applyBorder="1" applyAlignment="1">
      <alignment vertical="top"/>
    </xf>
    <xf numFmtId="0" fontId="0" fillId="3" borderId="2" xfId="0" applyFill="1" applyBorder="1" applyAlignment="1">
      <alignment vertical="top"/>
    </xf>
    <xf numFmtId="0" fontId="30" fillId="10" borderId="28" xfId="0" applyFont="1" applyFill="1" applyBorder="1" applyAlignment="1">
      <alignment horizontal="center" vertical="top"/>
    </xf>
    <xf numFmtId="0" fontId="32" fillId="10" borderId="27" xfId="0" applyFont="1" applyFill="1" applyBorder="1" applyAlignment="1">
      <alignment horizontal="center" vertical="top"/>
    </xf>
    <xf numFmtId="0" fontId="32" fillId="10" borderId="27" xfId="0" applyFont="1" applyFill="1" applyBorder="1" applyAlignment="1">
      <alignment vertical="top"/>
    </xf>
    <xf numFmtId="0" fontId="0" fillId="3" borderId="27" xfId="0" applyFill="1" applyBorder="1" applyAlignment="1">
      <alignment vertical="top"/>
    </xf>
    <xf numFmtId="0" fontId="29" fillId="3" borderId="43" xfId="0" applyFont="1" applyFill="1" applyBorder="1" applyAlignment="1">
      <alignment horizontal="left" vertical="top"/>
    </xf>
    <xf numFmtId="0" fontId="0" fillId="3" borderId="55" xfId="0" applyFill="1" applyBorder="1" applyAlignment="1">
      <alignment vertical="top"/>
    </xf>
    <xf numFmtId="0" fontId="0" fillId="0" borderId="45" xfId="0" applyBorder="1" applyAlignment="1">
      <alignment vertical="top"/>
    </xf>
    <xf numFmtId="3" fontId="32" fillId="7" borderId="88" xfId="0" applyNumberFormat="1" applyFont="1" applyFill="1" applyBorder="1" applyAlignment="1">
      <alignment vertical="top"/>
    </xf>
    <xf numFmtId="0" fontId="32" fillId="7" borderId="82" xfId="0" applyFont="1" applyFill="1" applyBorder="1" applyAlignment="1">
      <alignment vertical="top"/>
    </xf>
    <xf numFmtId="0" fontId="30" fillId="7" borderId="82" xfId="0" applyFont="1" applyFill="1" applyBorder="1" applyAlignment="1">
      <alignment vertical="top"/>
    </xf>
    <xf numFmtId="0" fontId="0" fillId="0" borderId="19" xfId="0" applyBorder="1" applyAlignment="1">
      <alignment vertical="top"/>
    </xf>
    <xf numFmtId="0" fontId="0" fillId="0" borderId="81" xfId="0" applyBorder="1" applyAlignment="1">
      <alignment vertical="top"/>
    </xf>
    <xf numFmtId="0" fontId="27" fillId="7" borderId="83" xfId="0" applyFont="1" applyFill="1" applyBorder="1" applyAlignment="1">
      <alignment vertical="top"/>
    </xf>
    <xf numFmtId="3" fontId="30" fillId="7" borderId="89" xfId="0" applyNumberFormat="1" applyFont="1" applyFill="1" applyBorder="1" applyAlignment="1">
      <alignment vertical="top"/>
    </xf>
    <xf numFmtId="0" fontId="30" fillId="7" borderId="79" xfId="0" applyFont="1" applyFill="1" applyBorder="1" applyAlignment="1">
      <alignment vertical="top"/>
    </xf>
    <xf numFmtId="3" fontId="28" fillId="7" borderId="89" xfId="0" applyNumberFormat="1" applyFont="1" applyFill="1" applyBorder="1" applyAlignment="1">
      <alignment vertical="top"/>
    </xf>
    <xf numFmtId="0" fontId="27" fillId="7" borderId="91" xfId="0" applyFont="1" applyFill="1" applyBorder="1" applyAlignment="1">
      <alignment vertical="top"/>
    </xf>
    <xf numFmtId="0" fontId="28" fillId="7" borderId="82" xfId="0" applyFont="1" applyFill="1" applyBorder="1" applyAlignment="1">
      <alignment vertical="top"/>
    </xf>
    <xf numFmtId="0" fontId="28" fillId="7" borderId="91" xfId="0" applyFont="1" applyFill="1" applyBorder="1" applyAlignment="1">
      <alignment vertical="top"/>
    </xf>
    <xf numFmtId="0" fontId="43" fillId="0" borderId="3" xfId="0" applyFont="1" applyBorder="1" applyAlignment="1">
      <alignment horizontal="left" vertical="top" wrapText="1"/>
    </xf>
    <xf numFmtId="0" fontId="44" fillId="0" borderId="3" xfId="0" applyFont="1" applyBorder="1" applyAlignment="1">
      <alignment horizontal="right" vertical="top" wrapText="1"/>
    </xf>
    <xf numFmtId="3" fontId="28" fillId="7" borderId="80" xfId="0" applyNumberFormat="1" applyFont="1" applyFill="1" applyBorder="1" applyAlignment="1">
      <alignment vertical="top"/>
    </xf>
    <xf numFmtId="0" fontId="0" fillId="3" borderId="45" xfId="0" applyFill="1" applyBorder="1" applyAlignment="1">
      <alignment vertical="top"/>
    </xf>
    <xf numFmtId="0" fontId="0" fillId="3" borderId="90" xfId="0" applyFill="1" applyBorder="1" applyAlignment="1">
      <alignment vertical="top"/>
    </xf>
    <xf numFmtId="0" fontId="0" fillId="3" borderId="11" xfId="0" applyFill="1" applyBorder="1" applyAlignment="1">
      <alignment vertical="top"/>
    </xf>
    <xf numFmtId="0" fontId="27" fillId="7" borderId="30" xfId="0" applyFont="1" applyFill="1" applyBorder="1" applyAlignment="1">
      <alignment vertical="top"/>
    </xf>
    <xf numFmtId="0" fontId="2" fillId="0" borderId="0" xfId="0" applyFont="1" applyAlignment="1">
      <alignment vertical="top"/>
    </xf>
    <xf numFmtId="0" fontId="30" fillId="6" borderId="85" xfId="0" applyFont="1" applyFill="1" applyBorder="1" applyAlignment="1">
      <alignment horizontal="center" vertical="top" wrapText="1"/>
    </xf>
    <xf numFmtId="0" fontId="45" fillId="3" borderId="57" xfId="0" applyFont="1" applyFill="1" applyBorder="1" applyAlignment="1">
      <alignment vertical="top"/>
    </xf>
    <xf numFmtId="0" fontId="45" fillId="3" borderId="27" xfId="0" applyFont="1" applyFill="1" applyBorder="1" applyAlignment="1">
      <alignment vertical="top"/>
    </xf>
    <xf numFmtId="0" fontId="0" fillId="3" borderId="20" xfId="0" applyFill="1" applyBorder="1" applyAlignment="1">
      <alignment vertical="top"/>
    </xf>
    <xf numFmtId="0" fontId="0" fillId="3" borderId="56" xfId="0" applyFill="1" applyBorder="1" applyAlignment="1">
      <alignment vertical="top"/>
    </xf>
    <xf numFmtId="3" fontId="46" fillId="0" borderId="3" xfId="0" applyNumberFormat="1" applyFont="1" applyBorder="1" applyAlignment="1">
      <alignment vertical="top"/>
    </xf>
    <xf numFmtId="0" fontId="46"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7" fillId="0" borderId="42" xfId="0" applyNumberFormat="1" applyFont="1" applyBorder="1" applyAlignment="1">
      <alignment vertical="top"/>
    </xf>
    <xf numFmtId="3" fontId="47" fillId="0" borderId="17" xfId="0" applyNumberFormat="1" applyFont="1" applyBorder="1" applyAlignment="1">
      <alignment vertical="top"/>
    </xf>
    <xf numFmtId="3" fontId="47" fillId="0" borderId="15" xfId="0" applyNumberFormat="1" applyFont="1" applyBorder="1" applyAlignment="1">
      <alignment vertical="top"/>
    </xf>
    <xf numFmtId="3" fontId="47" fillId="0" borderId="35" xfId="0" applyNumberFormat="1" applyFont="1" applyBorder="1" applyAlignment="1">
      <alignment vertical="top"/>
    </xf>
    <xf numFmtId="0" fontId="42" fillId="9" borderId="3" xfId="0" applyFont="1" applyFill="1" applyBorder="1" applyAlignment="1">
      <alignment horizontal="center" vertical="top" wrapText="1"/>
    </xf>
    <xf numFmtId="0" fontId="40" fillId="9" borderId="3" xfId="0" applyFont="1" applyFill="1" applyBorder="1" applyAlignment="1">
      <alignment horizontal="left" vertical="top" wrapText="1"/>
    </xf>
    <xf numFmtId="3" fontId="42" fillId="9" borderId="3" xfId="0" applyNumberFormat="1" applyFont="1" applyFill="1" applyBorder="1" applyAlignment="1">
      <alignment horizontal="right" vertical="top" wrapText="1"/>
    </xf>
    <xf numFmtId="9" fontId="42" fillId="9" borderId="3" xfId="0" applyNumberFormat="1" applyFont="1" applyFill="1" applyBorder="1" applyAlignment="1">
      <alignment horizontal="right" vertical="top" wrapText="1"/>
    </xf>
    <xf numFmtId="3" fontId="43" fillId="0" borderId="3" xfId="0" applyNumberFormat="1" applyFont="1" applyBorder="1" applyAlignment="1">
      <alignment horizontal="right" vertical="top" wrapText="1"/>
    </xf>
    <xf numFmtId="9" fontId="43" fillId="0" borderId="3" xfId="0" applyNumberFormat="1" applyFont="1" applyBorder="1" applyAlignment="1">
      <alignment horizontal="right" vertical="top" wrapText="1"/>
    </xf>
    <xf numFmtId="0" fontId="42" fillId="9" borderId="3" xfId="0" applyFont="1" applyFill="1" applyBorder="1" applyAlignment="1">
      <alignment horizontal="left" vertical="top" wrapText="1"/>
    </xf>
    <xf numFmtId="0" fontId="42" fillId="0" borderId="3" xfId="0" applyFont="1" applyBorder="1" applyAlignment="1">
      <alignment horizontal="left" vertical="top" wrapText="1"/>
    </xf>
    <xf numFmtId="3" fontId="42" fillId="0" borderId="3" xfId="0" applyNumberFormat="1" applyFont="1" applyBorder="1" applyAlignment="1">
      <alignment horizontal="right" vertical="top" wrapText="1"/>
    </xf>
    <xf numFmtId="3" fontId="42" fillId="0" borderId="3" xfId="0" applyNumberFormat="1" applyFont="1" applyBorder="1" applyAlignment="1">
      <alignment horizontal="left" vertical="top" wrapText="1"/>
    </xf>
    <xf numFmtId="3" fontId="43" fillId="0" borderId="0" xfId="0" applyNumberFormat="1" applyFont="1" applyAlignment="1">
      <alignment horizontal="right" vertical="top" wrapText="1"/>
    </xf>
    <xf numFmtId="3" fontId="43" fillId="0" borderId="0" xfId="0" applyNumberFormat="1" applyFont="1" applyAlignment="1">
      <alignment horizontal="left" vertical="top" wrapText="1"/>
    </xf>
    <xf numFmtId="14" fontId="42" fillId="9" borderId="3" xfId="0" applyNumberFormat="1" applyFont="1" applyFill="1" applyBorder="1" applyAlignment="1">
      <alignment horizontal="center" vertical="top" wrapText="1"/>
    </xf>
    <xf numFmtId="3" fontId="42" fillId="9" borderId="1" xfId="0" applyNumberFormat="1" applyFont="1" applyFill="1" applyBorder="1" applyAlignment="1">
      <alignment horizontal="center" vertical="top" wrapText="1"/>
    </xf>
    <xf numFmtId="0" fontId="42" fillId="9" borderId="1" xfId="0" applyFont="1" applyFill="1" applyBorder="1" applyAlignment="1">
      <alignment horizontal="center" vertical="top" wrapText="1"/>
    </xf>
    <xf numFmtId="0" fontId="3" fillId="0" borderId="0" xfId="0" applyFont="1" applyAlignment="1">
      <alignment vertical="top"/>
    </xf>
    <xf numFmtId="165" fontId="0" fillId="0" borderId="0" xfId="0" applyNumberFormat="1"/>
    <xf numFmtId="4" fontId="43"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1" fillId="0" borderId="3" xfId="0" applyNumberFormat="1" applyFont="1" applyBorder="1" applyAlignment="1">
      <alignment vertical="top"/>
    </xf>
    <xf numFmtId="3" fontId="20" fillId="0" borderId="3" xfId="0" applyNumberFormat="1" applyFont="1" applyBorder="1" applyAlignment="1">
      <alignment vertical="top"/>
    </xf>
    <xf numFmtId="0" fontId="0" fillId="3" borderId="11" xfId="0" applyFill="1" applyBorder="1" applyAlignment="1">
      <alignment horizontal="center" vertical="top" wrapText="1"/>
    </xf>
    <xf numFmtId="164" fontId="14" fillId="4" borderId="24" xfId="0" applyNumberFormat="1" applyFont="1" applyFill="1" applyBorder="1" applyAlignment="1">
      <alignment horizontal="center" vertical="top" wrapText="1"/>
    </xf>
    <xf numFmtId="0" fontId="11" fillId="0" borderId="0" xfId="0" applyFont="1" applyAlignment="1">
      <alignment vertical="top"/>
    </xf>
    <xf numFmtId="0" fontId="18" fillId="0" borderId="0" xfId="0" applyFont="1" applyAlignment="1">
      <alignment vertical="top"/>
    </xf>
    <xf numFmtId="3" fontId="19" fillId="0" borderId="32" xfId="0" applyNumberFormat="1" applyFont="1" applyBorder="1" applyAlignment="1">
      <alignment vertical="top"/>
    </xf>
    <xf numFmtId="3" fontId="19" fillId="0" borderId="76" xfId="0" applyNumberFormat="1" applyFont="1" applyBorder="1" applyAlignment="1">
      <alignment vertical="top"/>
    </xf>
    <xf numFmtId="3" fontId="19" fillId="0" borderId="58" xfId="0" applyNumberFormat="1" applyFont="1" applyBorder="1" applyAlignment="1">
      <alignment vertical="top"/>
    </xf>
    <xf numFmtId="3" fontId="19" fillId="0" borderId="42" xfId="0" applyNumberFormat="1" applyFont="1" applyBorder="1" applyAlignment="1">
      <alignment vertical="top"/>
    </xf>
    <xf numFmtId="0" fontId="2" fillId="0" borderId="42" xfId="0"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7" xfId="0" applyNumberFormat="1" applyFont="1" applyBorder="1" applyAlignment="1">
      <alignment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3" fontId="19" fillId="11" borderId="39" xfId="0" applyNumberFormat="1" applyFont="1" applyFill="1" applyBorder="1" applyAlignment="1" applyProtection="1">
      <alignment vertical="top"/>
      <protection locked="0"/>
    </xf>
    <xf numFmtId="3" fontId="19" fillId="11" borderId="2" xfId="0" applyNumberFormat="1" applyFont="1" applyFill="1" applyBorder="1" applyAlignment="1" applyProtection="1">
      <alignment vertical="top"/>
      <protection locked="0"/>
    </xf>
    <xf numFmtId="3" fontId="19" fillId="11" borderId="14" xfId="0" applyNumberFormat="1" applyFont="1" applyFill="1" applyBorder="1" applyAlignment="1" applyProtection="1">
      <alignment vertical="top"/>
      <protection locked="0"/>
    </xf>
    <xf numFmtId="3" fontId="19" fillId="11" borderId="22" xfId="0" applyNumberFormat="1" applyFont="1" applyFill="1" applyBorder="1" applyAlignment="1" applyProtection="1">
      <alignment vertical="top"/>
      <protection locked="0"/>
    </xf>
    <xf numFmtId="0" fontId="2" fillId="11" borderId="3" xfId="0" applyFont="1" applyFill="1" applyBorder="1" applyAlignment="1" applyProtection="1">
      <alignment vertical="top"/>
      <protection locked="0"/>
    </xf>
    <xf numFmtId="3" fontId="19" fillId="11" borderId="13" xfId="0" applyNumberFormat="1" applyFont="1" applyFill="1" applyBorder="1" applyAlignment="1" applyProtection="1">
      <alignment vertical="top"/>
      <protection locked="0"/>
    </xf>
    <xf numFmtId="3" fontId="19" fillId="11" borderId="3" xfId="0" applyNumberFormat="1" applyFont="1" applyFill="1" applyBorder="1" applyAlignment="1" applyProtection="1">
      <alignment vertical="top"/>
      <protection locked="0"/>
    </xf>
    <xf numFmtId="3" fontId="19" fillId="11" borderId="12" xfId="0" applyNumberFormat="1" applyFont="1" applyFill="1" applyBorder="1" applyAlignment="1" applyProtection="1">
      <alignment vertical="top"/>
      <protection locked="0"/>
    </xf>
    <xf numFmtId="4" fontId="19" fillId="11" borderId="2" xfId="0" applyNumberFormat="1" applyFont="1" applyFill="1" applyBorder="1" applyAlignment="1" applyProtection="1">
      <alignment vertical="top"/>
      <protection locked="0"/>
    </xf>
    <xf numFmtId="0" fontId="2" fillId="11" borderId="40"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19" fillId="12" borderId="31" xfId="0" applyNumberFormat="1" applyFont="1" applyFill="1" applyBorder="1" applyAlignment="1">
      <alignment vertical="top"/>
    </xf>
    <xf numFmtId="3" fontId="47" fillId="12" borderId="1" xfId="0" applyNumberFormat="1" applyFont="1" applyFill="1" applyBorder="1" applyAlignment="1">
      <alignment vertical="top"/>
    </xf>
    <xf numFmtId="3" fontId="47" fillId="12" borderId="22" xfId="0" applyNumberFormat="1" applyFont="1" applyFill="1" applyBorder="1" applyAlignment="1">
      <alignment vertical="top"/>
    </xf>
    <xf numFmtId="3" fontId="47" fillId="12" borderId="2" xfId="0" applyNumberFormat="1" applyFont="1" applyFill="1" applyBorder="1" applyAlignment="1">
      <alignment vertical="top"/>
    </xf>
    <xf numFmtId="3" fontId="47" fillId="12" borderId="39" xfId="0" applyNumberFormat="1" applyFont="1" applyFill="1" applyBorder="1" applyAlignment="1">
      <alignment vertical="top"/>
    </xf>
    <xf numFmtId="3" fontId="47" fillId="12" borderId="14" xfId="0" applyNumberFormat="1" applyFont="1" applyFill="1" applyBorder="1" applyAlignment="1">
      <alignment vertical="top"/>
    </xf>
    <xf numFmtId="0" fontId="18" fillId="12" borderId="40" xfId="0" applyFont="1" applyFill="1" applyBorder="1" applyAlignment="1">
      <alignment vertical="top" wrapText="1"/>
    </xf>
    <xf numFmtId="3" fontId="19" fillId="12" borderId="5" xfId="0" applyNumberFormat="1" applyFont="1" applyFill="1" applyBorder="1" applyAlignment="1">
      <alignment vertical="top"/>
    </xf>
    <xf numFmtId="3" fontId="19" fillId="12" borderId="4" xfId="0" applyNumberFormat="1" applyFont="1" applyFill="1" applyBorder="1" applyAlignment="1">
      <alignment vertical="top"/>
    </xf>
    <xf numFmtId="3" fontId="19" fillId="12" borderId="54" xfId="0" applyNumberFormat="1" applyFont="1" applyFill="1" applyBorder="1" applyAlignment="1">
      <alignment vertical="top"/>
    </xf>
    <xf numFmtId="3" fontId="19" fillId="12" borderId="1" xfId="0" applyNumberFormat="1" applyFont="1" applyFill="1" applyBorder="1" applyAlignment="1">
      <alignment vertical="top"/>
    </xf>
    <xf numFmtId="3" fontId="19" fillId="12" borderId="3" xfId="0" applyNumberFormat="1" applyFont="1" applyFill="1" applyBorder="1" applyAlignment="1">
      <alignment vertical="top"/>
    </xf>
    <xf numFmtId="3" fontId="19"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5" fillId="12" borderId="1"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2" borderId="39" xfId="0" applyFont="1" applyFill="1" applyBorder="1" applyAlignment="1">
      <alignment vertical="top" wrapText="1"/>
    </xf>
    <xf numFmtId="0" fontId="18"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19" fillId="12" borderId="11" xfId="0" applyNumberFormat="1" applyFont="1" applyFill="1" applyBorder="1" applyAlignment="1">
      <alignment vertical="top"/>
    </xf>
    <xf numFmtId="3" fontId="19" fillId="12" borderId="12" xfId="0" applyNumberFormat="1" applyFont="1" applyFill="1" applyBorder="1" applyAlignment="1">
      <alignment vertical="top"/>
    </xf>
    <xf numFmtId="0" fontId="15" fillId="12" borderId="46" xfId="0" applyFont="1" applyFill="1" applyBorder="1" applyAlignment="1">
      <alignment horizontal="left" vertical="top" wrapText="1"/>
    </xf>
    <xf numFmtId="0" fontId="18" fillId="12" borderId="46" xfId="0" applyFont="1" applyFill="1" applyBorder="1" applyAlignment="1">
      <alignment horizontal="left" vertical="top" wrapText="1"/>
    </xf>
    <xf numFmtId="0" fontId="15" fillId="12" borderId="21" xfId="0" applyFont="1" applyFill="1" applyBorder="1" applyAlignment="1">
      <alignment horizontal="left" vertical="top" wrapText="1"/>
    </xf>
    <xf numFmtId="0" fontId="18" fillId="12" borderId="47" xfId="0" applyFont="1" applyFill="1" applyBorder="1" applyAlignment="1">
      <alignment vertical="top" wrapText="1"/>
    </xf>
    <xf numFmtId="0" fontId="18" fillId="12" borderId="1" xfId="1" applyFont="1" applyFill="1" applyBorder="1" applyAlignment="1">
      <alignment horizontal="left" vertical="top" wrapText="1"/>
    </xf>
    <xf numFmtId="0" fontId="18" fillId="12" borderId="31" xfId="0" applyFont="1" applyFill="1" applyBorder="1" applyAlignment="1">
      <alignment horizontal="left" vertical="top" wrapText="1"/>
    </xf>
    <xf numFmtId="0" fontId="18" fillId="12" borderId="3" xfId="1" applyFont="1" applyFill="1" applyBorder="1" applyAlignment="1">
      <alignment horizontal="left" vertical="top" wrapText="1"/>
    </xf>
    <xf numFmtId="0" fontId="18" fillId="12" borderId="0" xfId="0" applyFont="1" applyFill="1" applyAlignment="1">
      <alignment vertical="top" wrapText="1"/>
    </xf>
    <xf numFmtId="0" fontId="18" fillId="12" borderId="21" xfId="1" applyFont="1" applyFill="1" applyBorder="1" applyAlignment="1">
      <alignment horizontal="left" vertical="top" wrapText="1"/>
    </xf>
    <xf numFmtId="3" fontId="15" fillId="0" borderId="4" xfId="0" applyNumberFormat="1" applyFont="1" applyBorder="1" applyAlignment="1">
      <alignment vertical="top"/>
    </xf>
    <xf numFmtId="3" fontId="15" fillId="0" borderId="5" xfId="0" applyNumberFormat="1" applyFont="1" applyBorder="1" applyAlignment="1">
      <alignment vertical="top"/>
    </xf>
    <xf numFmtId="3" fontId="15" fillId="0" borderId="6" xfId="0" applyNumberFormat="1" applyFont="1" applyBorder="1" applyAlignment="1">
      <alignment vertical="top"/>
    </xf>
    <xf numFmtId="3" fontId="20" fillId="0" borderId="18" xfId="0" applyNumberFormat="1" applyFont="1" applyBorder="1" applyAlignment="1">
      <alignment vertical="top"/>
    </xf>
    <xf numFmtId="3" fontId="20" fillId="0" borderId="16" xfId="0" applyNumberFormat="1" applyFont="1" applyBorder="1" applyAlignment="1">
      <alignment vertical="top"/>
    </xf>
    <xf numFmtId="3" fontId="20" fillId="0" borderId="15" xfId="0" applyNumberFormat="1" applyFont="1" applyBorder="1" applyAlignment="1">
      <alignment vertical="top"/>
    </xf>
    <xf numFmtId="0" fontId="17" fillId="4" borderId="41" xfId="0" applyFont="1" applyFill="1" applyBorder="1" applyAlignment="1">
      <alignment horizontal="center" vertical="top"/>
    </xf>
    <xf numFmtId="49" fontId="17" fillId="4" borderId="7" xfId="0" applyNumberFormat="1" applyFont="1" applyFill="1" applyBorder="1" applyAlignment="1">
      <alignment horizontal="center" vertical="top" wrapText="1"/>
    </xf>
    <xf numFmtId="49" fontId="17"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7" fillId="4" borderId="10"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19" fillId="11" borderId="4" xfId="0" applyNumberFormat="1" applyFont="1" applyFill="1" applyBorder="1" applyAlignment="1" applyProtection="1">
      <alignment vertical="top"/>
      <protection locked="0"/>
    </xf>
    <xf numFmtId="3" fontId="19" fillId="11" borderId="5" xfId="0" applyNumberFormat="1" applyFont="1" applyFill="1" applyBorder="1" applyAlignment="1" applyProtection="1">
      <alignment vertical="top"/>
      <protection locked="0"/>
    </xf>
    <xf numFmtId="3" fontId="19" fillId="11" borderId="6" xfId="0" applyNumberFormat="1" applyFont="1" applyFill="1" applyBorder="1" applyAlignment="1" applyProtection="1">
      <alignment vertical="top"/>
      <protection locked="0"/>
    </xf>
    <xf numFmtId="3" fontId="19" fillId="0" borderId="18" xfId="0" applyNumberFormat="1" applyFont="1" applyBorder="1" applyAlignment="1">
      <alignment vertical="top"/>
    </xf>
    <xf numFmtId="3" fontId="19" fillId="0" borderId="16" xfId="0" applyNumberFormat="1" applyFont="1" applyBorder="1" applyAlignment="1">
      <alignment vertical="top"/>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1" fillId="0" borderId="30" xfId="0" applyFont="1" applyBorder="1" applyAlignment="1">
      <alignment vertical="top"/>
    </xf>
    <xf numFmtId="3" fontId="47" fillId="12" borderId="5" xfId="0" applyNumberFormat="1" applyFont="1" applyFill="1" applyBorder="1" applyAlignment="1">
      <alignment vertical="top"/>
    </xf>
    <xf numFmtId="3" fontId="47" fillId="0" borderId="76"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95" xfId="0" applyFont="1" applyFill="1" applyBorder="1" applyAlignment="1" applyProtection="1">
      <alignment vertical="top"/>
      <protection locked="0"/>
    </xf>
    <xf numFmtId="0" fontId="2" fillId="11" borderId="48" xfId="0" applyFont="1" applyFill="1" applyBorder="1" applyAlignment="1" applyProtection="1">
      <alignment vertical="top"/>
      <protection locked="0"/>
    </xf>
    <xf numFmtId="3" fontId="47" fillId="0" borderId="18" xfId="0" applyNumberFormat="1" applyFont="1" applyBorder="1" applyAlignment="1">
      <alignment vertical="top"/>
    </xf>
    <xf numFmtId="3" fontId="47" fillId="0" borderId="16" xfId="0" applyNumberFormat="1" applyFont="1" applyBorder="1" applyAlignment="1">
      <alignment vertical="top"/>
    </xf>
    <xf numFmtId="1" fontId="12" fillId="4" borderId="23" xfId="0" applyNumberFormat="1" applyFont="1" applyFill="1" applyBorder="1" applyAlignment="1">
      <alignment horizontal="center" vertical="top" wrapText="1"/>
    </xf>
    <xf numFmtId="0" fontId="18" fillId="12" borderId="26" xfId="0" applyFont="1" applyFill="1" applyBorder="1" applyAlignment="1">
      <alignment vertical="top" wrapText="1"/>
    </xf>
    <xf numFmtId="0" fontId="18" fillId="12" borderId="50" xfId="0" applyFont="1" applyFill="1" applyBorder="1" applyAlignment="1">
      <alignment vertical="top" wrapText="1"/>
    </xf>
    <xf numFmtId="0" fontId="18" fillId="12" borderId="47" xfId="0" applyFont="1" applyFill="1" applyBorder="1" applyAlignment="1">
      <alignment horizontal="center" vertical="top"/>
    </xf>
    <xf numFmtId="0" fontId="2" fillId="12" borderId="47" xfId="0" applyFont="1" applyFill="1" applyBorder="1" applyAlignment="1">
      <alignment vertical="top" wrapText="1"/>
    </xf>
    <xf numFmtId="0" fontId="0" fillId="0" borderId="3" xfId="0" applyBorder="1" applyAlignment="1">
      <alignment vertical="top"/>
    </xf>
    <xf numFmtId="0" fontId="0" fillId="3" borderId="3" xfId="0" applyFill="1" applyBorder="1" applyAlignment="1">
      <alignment vertical="top"/>
    </xf>
    <xf numFmtId="0" fontId="0" fillId="3" borderId="19" xfId="0" applyFill="1" applyBorder="1" applyAlignment="1">
      <alignment vertical="top"/>
    </xf>
    <xf numFmtId="0" fontId="1" fillId="3" borderId="0" xfId="0" applyFont="1" applyFill="1" applyAlignment="1">
      <alignment horizontal="left" vertical="top"/>
    </xf>
    <xf numFmtId="0" fontId="1" fillId="2" borderId="33" xfId="0" applyFont="1" applyFill="1" applyBorder="1" applyAlignment="1">
      <alignment vertical="top" wrapText="1"/>
    </xf>
    <xf numFmtId="0" fontId="0" fillId="0" borderId="36" xfId="0" applyBorder="1" applyAlignment="1">
      <alignment horizontal="left" vertical="top"/>
    </xf>
    <xf numFmtId="3" fontId="0" fillId="12" borderId="37" xfId="0" applyNumberFormat="1" applyFill="1" applyBorder="1" applyAlignment="1">
      <alignment horizontal="left" vertical="top" wrapText="1"/>
    </xf>
    <xf numFmtId="0" fontId="3" fillId="0" borderId="33" xfId="0" applyFont="1" applyBorder="1" applyAlignment="1">
      <alignment horizontal="left" vertical="top"/>
    </xf>
    <xf numFmtId="0" fontId="0" fillId="0" borderId="43" xfId="0" applyBorder="1" applyAlignment="1">
      <alignment horizontal="left" vertical="top"/>
    </xf>
    <xf numFmtId="0" fontId="1" fillId="3" borderId="79" xfId="0" applyFont="1" applyFill="1" applyBorder="1" applyAlignment="1">
      <alignment horizontal="left" vertical="top"/>
    </xf>
    <xf numFmtId="3" fontId="47" fillId="12" borderId="69" xfId="0" applyNumberFormat="1" applyFont="1" applyFill="1" applyBorder="1" applyAlignment="1">
      <alignment vertical="top"/>
    </xf>
    <xf numFmtId="3" fontId="47" fillId="0" borderId="57" xfId="0" applyNumberFormat="1" applyFont="1" applyBorder="1" applyAlignment="1">
      <alignment vertical="top"/>
    </xf>
    <xf numFmtId="164" fontId="0" fillId="4" borderId="93" xfId="0" applyNumberFormat="1" applyFill="1" applyBorder="1" applyAlignment="1">
      <alignment horizontal="center" vertical="top" wrapText="1"/>
    </xf>
    <xf numFmtId="164" fontId="0" fillId="4" borderId="94" xfId="0" applyNumberFormat="1" applyFill="1" applyBorder="1" applyAlignment="1">
      <alignment horizontal="center" vertical="top" wrapText="1"/>
    </xf>
    <xf numFmtId="164" fontId="0" fillId="4" borderId="92" xfId="0" applyNumberFormat="1" applyFill="1" applyBorder="1" applyAlignment="1">
      <alignment horizontal="center" vertical="top" wrapText="1"/>
    </xf>
    <xf numFmtId="3" fontId="19" fillId="12" borderId="6" xfId="0" applyNumberFormat="1" applyFont="1" applyFill="1" applyBorder="1" applyAlignment="1">
      <alignment vertical="top"/>
    </xf>
    <xf numFmtId="3" fontId="19" fillId="12" borderId="13" xfId="0" applyNumberFormat="1" applyFont="1" applyFill="1" applyBorder="1" applyAlignment="1">
      <alignment vertical="top"/>
    </xf>
    <xf numFmtId="3" fontId="19" fillId="12" borderId="68" xfId="0" applyNumberFormat="1" applyFont="1" applyFill="1" applyBorder="1" applyAlignment="1">
      <alignment vertical="top"/>
    </xf>
    <xf numFmtId="164" fontId="0" fillId="4" borderId="82" xfId="0" applyNumberFormat="1" applyFill="1" applyBorder="1" applyAlignment="1">
      <alignment horizontal="center" vertical="top" wrapText="1"/>
    </xf>
    <xf numFmtId="164" fontId="0" fillId="4" borderId="70" xfId="0" applyNumberFormat="1" applyFill="1" applyBorder="1" applyAlignment="1">
      <alignment horizontal="center" vertical="top" wrapText="1"/>
    </xf>
    <xf numFmtId="0" fontId="17" fillId="0" borderId="28" xfId="0" applyFont="1" applyBorder="1" applyAlignment="1">
      <alignment horizontal="center" vertical="top" wrapText="1"/>
    </xf>
    <xf numFmtId="0" fontId="18" fillId="12" borderId="49" xfId="0" applyFont="1" applyFill="1" applyBorder="1" applyAlignment="1">
      <alignment horizontal="left" vertical="top" wrapText="1"/>
    </xf>
    <xf numFmtId="0" fontId="18" fillId="12" borderId="21" xfId="0" applyFont="1" applyFill="1" applyBorder="1" applyAlignment="1">
      <alignment horizontal="left" vertical="top" wrapText="1"/>
    </xf>
    <xf numFmtId="0" fontId="2" fillId="11" borderId="36" xfId="0" applyFont="1" applyFill="1" applyBorder="1" applyAlignment="1" applyProtection="1">
      <alignment vertical="top" wrapText="1"/>
      <protection locked="0"/>
    </xf>
    <xf numFmtId="0" fontId="2" fillId="11" borderId="51" xfId="0" applyFont="1" applyFill="1" applyBorder="1" applyAlignment="1" applyProtection="1">
      <alignment vertical="top" wrapText="1"/>
      <protection locked="0"/>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48" fillId="0" borderId="0" xfId="0" applyFont="1" applyAlignment="1">
      <alignment vertical="top"/>
    </xf>
    <xf numFmtId="0" fontId="2" fillId="0" borderId="30" xfId="0" applyFont="1" applyBorder="1" applyAlignment="1">
      <alignment vertical="top" wrapText="1"/>
    </xf>
    <xf numFmtId="0" fontId="48" fillId="0" borderId="25" xfId="0" applyFont="1" applyBorder="1" applyAlignment="1">
      <alignment horizontal="right" vertical="top" wrapText="1"/>
    </xf>
    <xf numFmtId="0" fontId="48" fillId="0" borderId="41" xfId="0" applyFont="1" applyBorder="1" applyAlignment="1">
      <alignment horizontal="right" vertical="top" wrapText="1"/>
    </xf>
    <xf numFmtId="0" fontId="48" fillId="0" borderId="8" xfId="0" applyFont="1" applyBorder="1" applyAlignment="1">
      <alignment horizontal="right" vertical="top" wrapText="1"/>
    </xf>
    <xf numFmtId="0" fontId="48" fillId="0" borderId="10" xfId="0" applyFont="1" applyBorder="1" applyAlignment="1">
      <alignment vertical="top"/>
    </xf>
    <xf numFmtId="0" fontId="48" fillId="0" borderId="60" xfId="0" applyFont="1" applyBorder="1" applyAlignment="1">
      <alignment vertical="top" wrapText="1"/>
    </xf>
    <xf numFmtId="3" fontId="48" fillId="0" borderId="30" xfId="0" applyNumberFormat="1" applyFont="1" applyBorder="1" applyAlignment="1">
      <alignment vertical="top"/>
    </xf>
    <xf numFmtId="3" fontId="48" fillId="0" borderId="7" xfId="0" applyNumberFormat="1" applyFont="1" applyBorder="1" applyAlignment="1">
      <alignment horizontal="right" vertical="top" wrapText="1"/>
    </xf>
    <xf numFmtId="3" fontId="48" fillId="0" borderId="8" xfId="0" applyNumberFormat="1" applyFont="1" applyBorder="1" applyAlignment="1">
      <alignment horizontal="right" vertical="top" wrapText="1"/>
    </xf>
    <xf numFmtId="3" fontId="48" fillId="0" borderId="10" xfId="0" applyNumberFormat="1" applyFont="1" applyBorder="1" applyAlignment="1">
      <alignment horizontal="right" vertical="top" wrapText="1"/>
    </xf>
    <xf numFmtId="0" fontId="48" fillId="0" borderId="39" xfId="0" applyFont="1" applyBorder="1" applyAlignment="1">
      <alignment vertical="top" wrapText="1"/>
    </xf>
    <xf numFmtId="3" fontId="48" fillId="0" borderId="39"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48" fillId="0" borderId="26" xfId="0" applyFont="1" applyBorder="1" applyAlignment="1">
      <alignment vertical="top" wrapText="1"/>
    </xf>
    <xf numFmtId="3" fontId="48"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48" fillId="0" borderId="35" xfId="0" applyFont="1" applyBorder="1" applyAlignment="1">
      <alignment vertical="top" wrapText="1"/>
    </xf>
    <xf numFmtId="3" fontId="48"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48" fillId="0" borderId="30" xfId="0" applyFont="1" applyBorder="1" applyAlignment="1">
      <alignment horizontal="right" vertical="top" wrapText="1"/>
    </xf>
    <xf numFmtId="0" fontId="48" fillId="0" borderId="78" xfId="0" applyFont="1" applyBorder="1" applyAlignment="1">
      <alignment horizontal="right" vertical="top" wrapText="1"/>
    </xf>
    <xf numFmtId="0" fontId="48" fillId="0" borderId="73" xfId="0" applyFont="1" applyBorder="1" applyAlignment="1">
      <alignment vertical="top" wrapText="1"/>
    </xf>
    <xf numFmtId="3" fontId="48" fillId="0" borderId="73" xfId="0" applyNumberFormat="1" applyFont="1" applyBorder="1" applyAlignment="1">
      <alignment horizontal="right" vertical="top" wrapText="1"/>
    </xf>
    <xf numFmtId="3" fontId="48" fillId="0" borderId="75" xfId="0" applyNumberFormat="1" applyFont="1" applyBorder="1" applyAlignment="1">
      <alignment horizontal="right" vertical="top" wrapText="1"/>
    </xf>
    <xf numFmtId="3" fontId="48" fillId="0" borderId="76" xfId="0" applyNumberFormat="1" applyFont="1" applyBorder="1" applyAlignment="1">
      <alignment horizontal="right" vertical="top" wrapText="1"/>
    </xf>
    <xf numFmtId="3" fontId="48" fillId="0" borderId="77" xfId="0" applyNumberFormat="1" applyFont="1" applyBorder="1" applyAlignment="1">
      <alignment horizontal="right" vertical="top" wrapText="1"/>
    </xf>
    <xf numFmtId="0" fontId="37" fillId="0" borderId="40" xfId="0" applyFont="1" applyBorder="1" applyAlignment="1">
      <alignment vertical="top" wrapText="1"/>
    </xf>
    <xf numFmtId="3" fontId="48" fillId="0" borderId="40" xfId="0" applyNumberFormat="1" applyFont="1" applyBorder="1" applyAlignment="1">
      <alignment vertical="top"/>
    </xf>
    <xf numFmtId="3" fontId="2" fillId="0" borderId="74"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48"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7" fillId="0" borderId="73" xfId="0" applyFont="1" applyBorder="1" applyAlignment="1">
      <alignment vertical="top" wrapText="1"/>
    </xf>
    <xf numFmtId="3" fontId="48" fillId="0" borderId="37" xfId="0" applyNumberFormat="1" applyFont="1" applyBorder="1" applyAlignment="1">
      <alignment vertical="top"/>
    </xf>
    <xf numFmtId="3" fontId="2" fillId="0" borderId="72"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0" fontId="11" fillId="4" borderId="8" xfId="0" applyFont="1" applyFill="1" applyBorder="1" applyAlignment="1">
      <alignment horizontal="center" vertical="top" wrapText="1"/>
    </xf>
    <xf numFmtId="0" fontId="0" fillId="0" borderId="28" xfId="0" applyBorder="1" applyAlignment="1">
      <alignment horizontal="left" vertical="top"/>
    </xf>
    <xf numFmtId="0" fontId="0" fillId="0" borderId="27" xfId="0" applyBorder="1"/>
    <xf numFmtId="0" fontId="0" fillId="0" borderId="29" xfId="0" applyBorder="1"/>
    <xf numFmtId="0" fontId="0" fillId="0" borderId="27" xfId="0" applyBorder="1" applyAlignment="1">
      <alignment vertical="top"/>
    </xf>
    <xf numFmtId="0" fontId="0" fillId="0" borderId="29" xfId="0" applyBorder="1" applyAlignment="1">
      <alignment vertical="top"/>
    </xf>
    <xf numFmtId="3" fontId="16" fillId="12" borderId="14" xfId="0" applyNumberFormat="1" applyFont="1" applyFill="1" applyBorder="1" applyAlignment="1">
      <alignment vertical="top" wrapText="1"/>
    </xf>
    <xf numFmtId="0" fontId="0" fillId="0" borderId="26" xfId="0" applyBorder="1" applyAlignment="1">
      <alignment horizontal="left" vertical="top"/>
    </xf>
    <xf numFmtId="49" fontId="12" fillId="4" borderId="7" xfId="0" applyNumberFormat="1" applyFont="1" applyFill="1" applyBorder="1" applyAlignment="1">
      <alignment horizontal="center" vertical="top" wrapText="1"/>
    </xf>
    <xf numFmtId="0" fontId="2" fillId="0" borderId="0" xfId="0" applyFont="1" applyAlignment="1">
      <alignment vertical="center"/>
    </xf>
    <xf numFmtId="0" fontId="0" fillId="0" borderId="0" xfId="0" applyAlignment="1">
      <alignment wrapText="1"/>
    </xf>
    <xf numFmtId="0" fontId="1" fillId="4" borderId="3" xfId="0" applyFont="1" applyFill="1" applyBorder="1" applyAlignment="1">
      <alignment horizontal="center" vertical="top"/>
    </xf>
    <xf numFmtId="0" fontId="1" fillId="4" borderId="3" xfId="0" applyFont="1" applyFill="1" applyBorder="1" applyAlignment="1">
      <alignment horizontal="center" vertical="top" wrapText="1"/>
    </xf>
    <xf numFmtId="0" fontId="1" fillId="0" borderId="0" xfId="0" applyFont="1" applyAlignment="1">
      <alignment vertical="top" wrapText="1"/>
    </xf>
    <xf numFmtId="0" fontId="48" fillId="4" borderId="3" xfId="0" applyFont="1" applyFill="1" applyBorder="1" applyAlignment="1">
      <alignment horizontal="center" vertical="top" wrapText="1"/>
    </xf>
    <xf numFmtId="0" fontId="15" fillId="0" borderId="1" xfId="0" applyFont="1" applyBorder="1"/>
    <xf numFmtId="0" fontId="11" fillId="0" borderId="74" xfId="0" applyFont="1" applyBorder="1"/>
    <xf numFmtId="0" fontId="11" fillId="0" borderId="74" xfId="0" applyFont="1" applyBorder="1" applyAlignment="1">
      <alignment wrapText="1"/>
    </xf>
    <xf numFmtId="0" fontId="52" fillId="0" borderId="74" xfId="0" applyFont="1" applyBorder="1"/>
    <xf numFmtId="0" fontId="53" fillId="0" borderId="74" xfId="0" applyFont="1" applyBorder="1"/>
    <xf numFmtId="0" fontId="53" fillId="0" borderId="74" xfId="0" applyFont="1" applyBorder="1" applyAlignment="1">
      <alignment wrapText="1"/>
    </xf>
    <xf numFmtId="0" fontId="53" fillId="0" borderId="1" xfId="0" applyFont="1" applyBorder="1"/>
    <xf numFmtId="0" fontId="53" fillId="0" borderId="81" xfId="0" applyFont="1" applyBorder="1"/>
    <xf numFmtId="0" fontId="11" fillId="0" borderId="81" xfId="0" applyFont="1" applyBorder="1"/>
    <xf numFmtId="0" fontId="53" fillId="0" borderId="81" xfId="0" applyFont="1" applyBorder="1" applyAlignment="1">
      <alignment wrapText="1"/>
    </xf>
    <xf numFmtId="0" fontId="0" fillId="0" borderId="96" xfId="0" applyBorder="1" applyAlignment="1">
      <alignment wrapText="1"/>
    </xf>
    <xf numFmtId="0" fontId="0" fillId="0" borderId="97" xfId="0" applyBorder="1"/>
    <xf numFmtId="0" fontId="0" fillId="0" borderId="96" xfId="0" applyBorder="1"/>
    <xf numFmtId="3" fontId="0" fillId="0" borderId="96" xfId="0" applyNumberFormat="1" applyBorder="1"/>
    <xf numFmtId="0" fontId="0" fillId="0" borderId="96" xfId="0" applyBorder="1" applyAlignment="1">
      <alignment horizontal="center"/>
    </xf>
    <xf numFmtId="0" fontId="54" fillId="0" borderId="96" xfId="0" applyFont="1" applyBorder="1" applyAlignment="1">
      <alignment wrapText="1"/>
    </xf>
    <xf numFmtId="0" fontId="27" fillId="0" borderId="96" xfId="0" applyFont="1" applyBorder="1" applyAlignment="1">
      <alignment wrapText="1"/>
    </xf>
    <xf numFmtId="0" fontId="53" fillId="0" borderId="96" xfId="0" applyFont="1" applyBorder="1" applyAlignment="1">
      <alignment wrapText="1"/>
    </xf>
    <xf numFmtId="0" fontId="54" fillId="0" borderId="0" xfId="0" applyFont="1" applyAlignment="1">
      <alignment wrapText="1"/>
    </xf>
    <xf numFmtId="0" fontId="1" fillId="2" borderId="100" xfId="0" applyFont="1" applyFill="1" applyBorder="1" applyAlignment="1">
      <alignment vertical="top" wrapText="1"/>
    </xf>
    <xf numFmtId="0" fontId="1" fillId="3" borderId="103" xfId="0" applyFont="1" applyFill="1" applyBorder="1" applyAlignment="1">
      <alignment vertical="top" wrapText="1"/>
    </xf>
    <xf numFmtId="0" fontId="0" fillId="3" borderId="104" xfId="0" applyFill="1" applyBorder="1" applyAlignment="1">
      <alignment horizontal="center" vertical="top" wrapText="1"/>
    </xf>
    <xf numFmtId="0" fontId="1" fillId="3" borderId="105" xfId="0" applyFont="1" applyFill="1" applyBorder="1" applyAlignment="1">
      <alignment vertical="top" wrapText="1"/>
    </xf>
    <xf numFmtId="3" fontId="2" fillId="3" borderId="106" xfId="0" applyNumberFormat="1" applyFont="1" applyFill="1" applyBorder="1" applyAlignment="1">
      <alignment horizontal="right" vertical="top" wrapText="1"/>
    </xf>
    <xf numFmtId="0" fontId="1" fillId="2" borderId="107" xfId="0" applyFont="1" applyFill="1" applyBorder="1" applyAlignment="1">
      <alignment vertical="top" wrapText="1"/>
    </xf>
    <xf numFmtId="0" fontId="1" fillId="3" borderId="109" xfId="0" applyFont="1" applyFill="1" applyBorder="1" applyAlignment="1">
      <alignment vertical="top" wrapText="1"/>
    </xf>
    <xf numFmtId="9" fontId="2" fillId="3" borderId="110" xfId="0" applyNumberFormat="1" applyFont="1" applyFill="1" applyBorder="1" applyAlignment="1">
      <alignment horizontal="right" vertical="top" wrapText="1"/>
    </xf>
    <xf numFmtId="9" fontId="2" fillId="3" borderId="111" xfId="0" applyNumberFormat="1" applyFont="1" applyFill="1" applyBorder="1" applyAlignment="1">
      <alignment horizontal="right" vertical="top" wrapText="1"/>
    </xf>
    <xf numFmtId="3" fontId="0" fillId="12" borderId="16" xfId="0" applyNumberFormat="1" applyFill="1" applyBorder="1" applyAlignment="1">
      <alignment horizontal="right" vertical="top" wrapText="1"/>
    </xf>
    <xf numFmtId="3" fontId="0" fillId="12" borderId="17" xfId="0" applyNumberFormat="1" applyFill="1" applyBorder="1" applyAlignment="1">
      <alignment horizontal="right" vertical="top" wrapText="1"/>
    </xf>
    <xf numFmtId="9" fontId="0" fillId="12" borderId="17" xfId="0" applyNumberFormat="1" applyFill="1" applyBorder="1" applyAlignment="1">
      <alignment horizontal="right" vertical="top" wrapText="1"/>
    </xf>
    <xf numFmtId="0" fontId="0" fillId="0" borderId="3" xfId="0" applyBorder="1"/>
    <xf numFmtId="0" fontId="28" fillId="13" borderId="3" xfId="0" applyFont="1" applyFill="1" applyBorder="1" applyAlignment="1">
      <alignment horizontal="center" vertical="top" wrapText="1"/>
    </xf>
    <xf numFmtId="0" fontId="2" fillId="0" borderId="3" xfId="0" applyFont="1" applyBorder="1" applyAlignment="1">
      <alignment horizontal="left" vertical="top"/>
    </xf>
    <xf numFmtId="0" fontId="27" fillId="0" borderId="3" xfId="0" applyFont="1" applyBorder="1" applyAlignment="1">
      <alignment horizontal="left" vertical="top"/>
    </xf>
    <xf numFmtId="0" fontId="0" fillId="0" borderId="98" xfId="0" applyBorder="1"/>
    <xf numFmtId="3" fontId="56" fillId="11" borderId="39" xfId="0" applyNumberFormat="1" applyFont="1" applyFill="1" applyBorder="1" applyAlignment="1" applyProtection="1">
      <alignment vertical="top"/>
      <protection locked="0"/>
    </xf>
    <xf numFmtId="3" fontId="56" fillId="11" borderId="2" xfId="0" applyNumberFormat="1" applyFont="1" applyFill="1" applyBorder="1" applyAlignment="1" applyProtection="1">
      <alignment vertical="top"/>
      <protection locked="0"/>
    </xf>
    <xf numFmtId="3" fontId="56" fillId="11" borderId="14" xfId="0" applyNumberFormat="1" applyFont="1" applyFill="1" applyBorder="1" applyAlignment="1" applyProtection="1">
      <alignment vertical="top"/>
      <protection locked="0"/>
    </xf>
    <xf numFmtId="3" fontId="56" fillId="11" borderId="22" xfId="0" applyNumberFormat="1" applyFont="1" applyFill="1" applyBorder="1" applyAlignment="1" applyProtection="1">
      <alignment vertical="top"/>
      <protection locked="0"/>
    </xf>
    <xf numFmtId="3" fontId="56" fillId="11" borderId="13" xfId="0" applyNumberFormat="1" applyFont="1" applyFill="1" applyBorder="1" applyAlignment="1" applyProtection="1">
      <alignment vertical="top"/>
      <protection locked="0"/>
    </xf>
    <xf numFmtId="3" fontId="56" fillId="11" borderId="3" xfId="0" applyNumberFormat="1" applyFont="1" applyFill="1" applyBorder="1" applyAlignment="1" applyProtection="1">
      <alignment vertical="top"/>
      <protection locked="0"/>
    </xf>
    <xf numFmtId="3" fontId="56" fillId="11" borderId="12" xfId="0" applyNumberFormat="1" applyFont="1" applyFill="1" applyBorder="1" applyAlignment="1" applyProtection="1">
      <alignment vertical="top"/>
      <protection locked="0"/>
    </xf>
    <xf numFmtId="3" fontId="56" fillId="11" borderId="26" xfId="0" applyNumberFormat="1" applyFont="1" applyFill="1" applyBorder="1" applyAlignment="1" applyProtection="1">
      <alignment vertical="top"/>
      <protection locked="0"/>
    </xf>
    <xf numFmtId="3" fontId="56" fillId="11" borderId="11" xfId="0" applyNumberFormat="1" applyFont="1" applyFill="1" applyBorder="1" applyAlignment="1" applyProtection="1">
      <alignment vertical="top"/>
      <protection locked="0"/>
    </xf>
    <xf numFmtId="3" fontId="56" fillId="11" borderId="20" xfId="0" applyNumberFormat="1" applyFont="1" applyFill="1" applyBorder="1" applyAlignment="1" applyProtection="1">
      <alignment vertical="top"/>
      <protection locked="0"/>
    </xf>
    <xf numFmtId="3" fontId="56" fillId="11" borderId="50" xfId="0" applyNumberFormat="1" applyFont="1" applyFill="1" applyBorder="1" applyAlignment="1" applyProtection="1">
      <alignment vertical="top"/>
      <protection locked="0"/>
    </xf>
    <xf numFmtId="3" fontId="56" fillId="11" borderId="45" xfId="0" applyNumberFormat="1" applyFont="1" applyFill="1" applyBorder="1" applyAlignment="1" applyProtection="1">
      <alignment vertical="top"/>
      <protection locked="0"/>
    </xf>
    <xf numFmtId="3" fontId="56" fillId="11" borderId="48" xfId="0" applyNumberFormat="1" applyFont="1" applyFill="1" applyBorder="1" applyAlignment="1" applyProtection="1">
      <alignment vertical="top"/>
      <protection locked="0"/>
    </xf>
    <xf numFmtId="3" fontId="56" fillId="11" borderId="44" xfId="0" applyNumberFormat="1" applyFont="1" applyFill="1" applyBorder="1" applyAlignment="1" applyProtection="1">
      <alignment vertical="top"/>
      <protection locked="0"/>
    </xf>
    <xf numFmtId="3" fontId="56" fillId="11" borderId="13" xfId="0" applyNumberFormat="1" applyFont="1" applyFill="1" applyBorder="1" applyAlignment="1" applyProtection="1">
      <alignment horizontal="right" vertical="top"/>
      <protection locked="0"/>
    </xf>
    <xf numFmtId="3" fontId="56" fillId="11" borderId="3" xfId="0" applyNumberFormat="1" applyFont="1" applyFill="1" applyBorder="1" applyAlignment="1" applyProtection="1">
      <alignment horizontal="right" vertical="top"/>
      <protection locked="0"/>
    </xf>
    <xf numFmtId="3" fontId="56" fillId="11" borderId="12" xfId="0" applyNumberFormat="1" applyFont="1" applyFill="1" applyBorder="1" applyAlignment="1" applyProtection="1">
      <alignment horizontal="right" vertical="top"/>
      <protection locked="0"/>
    </xf>
    <xf numFmtId="3" fontId="56" fillId="11" borderId="11" xfId="0" applyNumberFormat="1" applyFont="1" applyFill="1" applyBorder="1" applyAlignment="1" applyProtection="1">
      <alignment horizontal="right" vertical="top"/>
      <protection locked="0"/>
    </xf>
    <xf numFmtId="3" fontId="56" fillId="11" borderId="50" xfId="0" applyNumberFormat="1" applyFont="1" applyFill="1" applyBorder="1" applyAlignment="1" applyProtection="1">
      <alignment horizontal="right" vertical="top"/>
      <protection locked="0"/>
    </xf>
    <xf numFmtId="3" fontId="56" fillId="11" borderId="45" xfId="0" applyNumberFormat="1" applyFont="1" applyFill="1" applyBorder="1" applyAlignment="1" applyProtection="1">
      <alignment horizontal="right" vertical="top"/>
      <protection locked="0"/>
    </xf>
    <xf numFmtId="3" fontId="56" fillId="11" borderId="48" xfId="0" applyNumberFormat="1" applyFont="1" applyFill="1" applyBorder="1" applyAlignment="1" applyProtection="1">
      <alignment horizontal="right" vertical="top"/>
      <protection locked="0"/>
    </xf>
    <xf numFmtId="3" fontId="0" fillId="0" borderId="68" xfId="0" applyNumberFormat="1" applyBorder="1" applyAlignment="1">
      <alignment vertical="top"/>
    </xf>
    <xf numFmtId="3" fontId="0" fillId="0" borderId="17" xfId="0" applyNumberFormat="1" applyBorder="1" applyAlignment="1">
      <alignment vertical="top"/>
    </xf>
    <xf numFmtId="3" fontId="0" fillId="0" borderId="53" xfId="0" applyNumberFormat="1" applyBorder="1" applyAlignment="1">
      <alignment vertical="top"/>
    </xf>
    <xf numFmtId="3" fontId="0" fillId="0" borderId="72" xfId="0" applyNumberFormat="1" applyBorder="1" applyAlignment="1">
      <alignment vertical="top"/>
    </xf>
    <xf numFmtId="3" fontId="56" fillId="12" borderId="13" xfId="0" applyNumberFormat="1" applyFont="1" applyFill="1" applyBorder="1" applyAlignment="1">
      <alignment vertical="top"/>
    </xf>
    <xf numFmtId="3" fontId="56" fillId="12" borderId="3" xfId="0" applyNumberFormat="1" applyFont="1" applyFill="1" applyBorder="1" applyAlignment="1">
      <alignment vertical="top"/>
    </xf>
    <xf numFmtId="3" fontId="56" fillId="12" borderId="11" xfId="0" applyNumberFormat="1" applyFont="1" applyFill="1" applyBorder="1" applyAlignment="1">
      <alignment vertical="top"/>
    </xf>
    <xf numFmtId="3" fontId="56" fillId="12" borderId="12" xfId="0" applyNumberFormat="1" applyFont="1" applyFill="1" applyBorder="1" applyAlignment="1">
      <alignment vertical="top"/>
    </xf>
    <xf numFmtId="3" fontId="56" fillId="12" borderId="22" xfId="0" applyNumberFormat="1" applyFont="1" applyFill="1" applyBorder="1" applyAlignment="1">
      <alignment vertical="top"/>
    </xf>
    <xf numFmtId="3" fontId="56" fillId="12" borderId="2" xfId="0" applyNumberFormat="1" applyFont="1" applyFill="1" applyBorder="1" applyAlignment="1">
      <alignment vertical="top"/>
    </xf>
    <xf numFmtId="3" fontId="56" fillId="12" borderId="14" xfId="0" applyNumberFormat="1" applyFont="1" applyFill="1" applyBorder="1" applyAlignment="1">
      <alignment vertical="top"/>
    </xf>
    <xf numFmtId="3" fontId="56" fillId="12" borderId="39" xfId="0" applyNumberFormat="1" applyFont="1" applyFill="1" applyBorder="1" applyAlignment="1">
      <alignment vertical="top"/>
    </xf>
    <xf numFmtId="3" fontId="56" fillId="12" borderId="20" xfId="0" applyNumberFormat="1" applyFont="1" applyFill="1" applyBorder="1" applyAlignment="1">
      <alignment vertical="top"/>
    </xf>
    <xf numFmtId="3" fontId="56" fillId="12" borderId="26" xfId="0" applyNumberFormat="1" applyFont="1" applyFill="1" applyBorder="1" applyAlignment="1">
      <alignment vertical="top"/>
    </xf>
    <xf numFmtId="3" fontId="56" fillId="12" borderId="19" xfId="0" applyNumberFormat="1" applyFont="1" applyFill="1" applyBorder="1" applyAlignment="1">
      <alignment horizontal="right" vertical="top"/>
    </xf>
    <xf numFmtId="3" fontId="56" fillId="12" borderId="3" xfId="0" applyNumberFormat="1" applyFont="1" applyFill="1" applyBorder="1" applyAlignment="1">
      <alignment horizontal="right" vertical="top"/>
    </xf>
    <xf numFmtId="3" fontId="56" fillId="12" borderId="12" xfId="0" applyNumberFormat="1" applyFont="1" applyFill="1" applyBorder="1" applyAlignment="1">
      <alignment horizontal="right" vertical="top"/>
    </xf>
    <xf numFmtId="3" fontId="56" fillId="12" borderId="13" xfId="0" applyNumberFormat="1" applyFont="1" applyFill="1" applyBorder="1" applyAlignment="1">
      <alignment horizontal="right" vertical="top"/>
    </xf>
    <xf numFmtId="3" fontId="56" fillId="12" borderId="44" xfId="0" applyNumberFormat="1" applyFont="1" applyFill="1" applyBorder="1" applyAlignment="1">
      <alignment horizontal="right" vertical="top"/>
    </xf>
    <xf numFmtId="3" fontId="56" fillId="12" borderId="45" xfId="0" applyNumberFormat="1" applyFont="1" applyFill="1" applyBorder="1" applyAlignment="1">
      <alignment horizontal="right" vertical="top"/>
    </xf>
    <xf numFmtId="3" fontId="56" fillId="12" borderId="48" xfId="0" applyNumberFormat="1" applyFont="1" applyFill="1" applyBorder="1" applyAlignment="1">
      <alignment horizontal="right" vertical="top"/>
    </xf>
    <xf numFmtId="3" fontId="56" fillId="12" borderId="50" xfId="0" applyNumberFormat="1" applyFont="1" applyFill="1" applyBorder="1" applyAlignment="1">
      <alignment horizontal="right" vertical="top"/>
    </xf>
    <xf numFmtId="3" fontId="57" fillId="11" borderId="13" xfId="0" applyNumberFormat="1" applyFont="1" applyFill="1" applyBorder="1" applyAlignment="1" applyProtection="1">
      <alignment horizontal="right" vertical="top"/>
      <protection locked="0"/>
    </xf>
    <xf numFmtId="0" fontId="27" fillId="0" borderId="3" xfId="0" applyFont="1" applyBorder="1" applyAlignment="1">
      <alignment horizontal="left" vertical="top" wrapText="1"/>
    </xf>
    <xf numFmtId="0" fontId="2" fillId="0" borderId="3" xfId="0" applyFont="1" applyBorder="1" applyAlignment="1">
      <alignment vertical="top"/>
    </xf>
    <xf numFmtId="3" fontId="42" fillId="0" borderId="0" xfId="0" applyNumberFormat="1" applyFont="1" applyAlignment="1">
      <alignment horizontal="left" vertical="top" wrapText="1"/>
    </xf>
    <xf numFmtId="0" fontId="53" fillId="0" borderId="0" xfId="0" applyFont="1"/>
    <xf numFmtId="0" fontId="53" fillId="0" borderId="96" xfId="0" applyFont="1" applyBorder="1"/>
    <xf numFmtId="0" fontId="11" fillId="0" borderId="96" xfId="0" applyFont="1" applyBorder="1"/>
    <xf numFmtId="0" fontId="53" fillId="0" borderId="2" xfId="0" applyFont="1" applyBorder="1"/>
    <xf numFmtId="0" fontId="27" fillId="0" borderId="19" xfId="0" applyFont="1" applyBorder="1" applyAlignment="1">
      <alignment horizontal="left" vertical="top"/>
    </xf>
    <xf numFmtId="0" fontId="0" fillId="0" borderId="112" xfId="0" applyBorder="1"/>
    <xf numFmtId="0" fontId="0" fillId="0" borderId="113" xfId="0" applyBorder="1"/>
    <xf numFmtId="0" fontId="0" fillId="0" borderId="113" xfId="0" applyBorder="1" applyAlignment="1">
      <alignment wrapText="1"/>
    </xf>
    <xf numFmtId="3" fontId="0" fillId="0" borderId="113" xfId="0" applyNumberFormat="1" applyBorder="1"/>
    <xf numFmtId="0" fontId="0" fillId="0" borderId="65" xfId="0" applyBorder="1"/>
    <xf numFmtId="0" fontId="54" fillId="0" borderId="97" xfId="0" applyFont="1" applyBorder="1" applyAlignment="1">
      <alignment horizontal="left"/>
    </xf>
    <xf numFmtId="0" fontId="0" fillId="0" borderId="96" xfId="0" applyBorder="1" applyAlignment="1">
      <alignment horizontal="left"/>
    </xf>
    <xf numFmtId="0" fontId="0" fillId="0" borderId="96" xfId="0" applyBorder="1" applyAlignment="1">
      <alignment horizontal="right"/>
    </xf>
    <xf numFmtId="0" fontId="53" fillId="0" borderId="98" xfId="0" applyFont="1" applyBorder="1"/>
    <xf numFmtId="0" fontId="53" fillId="0" borderId="97" xfId="0" applyFont="1" applyBorder="1"/>
    <xf numFmtId="0" fontId="2" fillId="0" borderId="96" xfId="0" applyFont="1" applyBorder="1" applyAlignment="1">
      <alignment vertical="center"/>
    </xf>
    <xf numFmtId="0" fontId="0" fillId="3" borderId="96" xfId="0" applyFill="1" applyBorder="1"/>
    <xf numFmtId="0" fontId="0" fillId="3" borderId="96" xfId="0" applyFill="1" applyBorder="1" applyAlignment="1">
      <alignment wrapText="1"/>
    </xf>
    <xf numFmtId="0" fontId="2" fillId="0" borderId="97" xfId="0" applyFont="1" applyBorder="1" applyAlignment="1">
      <alignment vertical="center"/>
    </xf>
    <xf numFmtId="0" fontId="0" fillId="0" borderId="21" xfId="0" applyBorder="1"/>
    <xf numFmtId="0" fontId="2" fillId="0" borderId="97" xfId="0" applyFont="1" applyBorder="1" applyAlignment="1">
      <alignment horizontal="left" vertical="center"/>
    </xf>
    <xf numFmtId="0" fontId="0" fillId="0" borderId="97" xfId="0" applyBorder="1" applyAlignment="1">
      <alignment horizontal="left"/>
    </xf>
    <xf numFmtId="0" fontId="0" fillId="0" borderId="112" xfId="0" applyBorder="1" applyAlignment="1">
      <alignment horizontal="left"/>
    </xf>
    <xf numFmtId="0" fontId="18" fillId="0" borderId="0" xfId="0" applyFont="1" applyAlignment="1" applyProtection="1">
      <alignment vertical="top"/>
      <protection locked="0"/>
    </xf>
    <xf numFmtId="0" fontId="2" fillId="0" borderId="96" xfId="0" applyFont="1" applyBorder="1" applyAlignment="1">
      <alignment horizontal="left"/>
    </xf>
    <xf numFmtId="0" fontId="2" fillId="0" borderId="96" xfId="0" applyFont="1" applyBorder="1"/>
    <xf numFmtId="0" fontId="2" fillId="3" borderId="96" xfId="0" applyFont="1" applyFill="1" applyBorder="1" applyAlignment="1">
      <alignment horizontal="left"/>
    </xf>
    <xf numFmtId="0" fontId="2" fillId="0" borderId="96" xfId="0" applyFont="1" applyBorder="1" applyAlignment="1">
      <alignment wrapText="1"/>
    </xf>
    <xf numFmtId="0" fontId="2" fillId="0" borderId="98" xfId="0" applyFont="1" applyBorder="1" applyAlignment="1">
      <alignment horizontal="right"/>
    </xf>
    <xf numFmtId="0" fontId="2" fillId="0" borderId="115" xfId="0" applyFont="1" applyBorder="1" applyAlignment="1">
      <alignment horizontal="left"/>
    </xf>
    <xf numFmtId="0" fontId="2" fillId="0" borderId="112" xfId="0" applyFont="1" applyBorder="1"/>
    <xf numFmtId="0" fontId="2" fillId="3" borderId="113" xfId="0" applyFont="1" applyFill="1" applyBorder="1" applyAlignment="1">
      <alignment horizontal="left"/>
    </xf>
    <xf numFmtId="0" fontId="2" fillId="0" borderId="113" xfId="0" applyFont="1" applyBorder="1"/>
    <xf numFmtId="0" fontId="2" fillId="0" borderId="112" xfId="0" applyFont="1" applyBorder="1" applyAlignment="1">
      <alignment horizontal="right"/>
    </xf>
    <xf numFmtId="0" fontId="2" fillId="0" borderId="113" xfId="0" applyFont="1" applyBorder="1" applyAlignment="1">
      <alignment horizontal="left"/>
    </xf>
    <xf numFmtId="0" fontId="2" fillId="0" borderId="113" xfId="0" applyFont="1" applyBorder="1" applyAlignment="1">
      <alignment horizontal="center"/>
    </xf>
    <xf numFmtId="0" fontId="2" fillId="0" borderId="97" xfId="0" applyFont="1" applyBorder="1" applyAlignment="1">
      <alignment horizontal="right"/>
    </xf>
    <xf numFmtId="0" fontId="2" fillId="0" borderId="96" xfId="0" applyFont="1" applyBorder="1" applyAlignment="1">
      <alignment horizontal="center"/>
    </xf>
    <xf numFmtId="0" fontId="2" fillId="0" borderId="96" xfId="0" applyFont="1" applyBorder="1" applyAlignment="1">
      <alignment horizontal="right"/>
    </xf>
    <xf numFmtId="0" fontId="0" fillId="0" borderId="0" xfId="0" applyAlignment="1">
      <alignment horizontal="left" vertical="top" wrapText="1"/>
    </xf>
    <xf numFmtId="0" fontId="1" fillId="3" borderId="0" xfId="0" applyFont="1" applyFill="1" applyAlignment="1">
      <alignment horizontal="left" vertical="top" wrapText="1"/>
    </xf>
    <xf numFmtId="3" fontId="20" fillId="0" borderId="0" xfId="0" applyNumberFormat="1" applyFont="1" applyAlignment="1">
      <alignment vertical="top"/>
    </xf>
    <xf numFmtId="0" fontId="0" fillId="0" borderId="27" xfId="0" applyBorder="1" applyAlignment="1">
      <alignment horizontal="left" vertical="top"/>
    </xf>
    <xf numFmtId="0" fontId="61" fillId="14" borderId="8" xfId="0" applyFont="1" applyFill="1" applyBorder="1" applyAlignment="1">
      <alignment horizontal="left" vertical="top" wrapText="1"/>
    </xf>
    <xf numFmtId="0" fontId="62" fillId="14" borderId="8" xfId="0" applyFont="1" applyFill="1" applyBorder="1" applyAlignment="1">
      <alignment horizontal="left" vertical="top" wrapText="1"/>
    </xf>
    <xf numFmtId="0" fontId="18" fillId="11" borderId="31" xfId="0" applyFont="1" applyFill="1" applyBorder="1" applyAlignment="1" applyProtection="1">
      <alignment horizontal="left" vertical="top"/>
      <protection locked="0"/>
    </xf>
    <xf numFmtId="0" fontId="15" fillId="11" borderId="1" xfId="0" applyFont="1" applyFill="1" applyBorder="1" applyAlignment="1" applyProtection="1">
      <alignment horizontal="left" vertical="top"/>
      <protection locked="0"/>
    </xf>
    <xf numFmtId="0" fontId="18" fillId="11" borderId="1" xfId="0" applyFont="1" applyFill="1" applyBorder="1" applyAlignment="1" applyProtection="1">
      <alignment horizontal="left" vertical="top"/>
      <protection locked="0"/>
    </xf>
    <xf numFmtId="0" fontId="18" fillId="15" borderId="1" xfId="0" applyFont="1" applyFill="1" applyBorder="1" applyAlignment="1" applyProtection="1">
      <alignment horizontal="left" vertical="top"/>
      <protection locked="0"/>
    </xf>
    <xf numFmtId="0" fontId="18" fillId="11" borderId="22" xfId="0" applyFont="1" applyFill="1" applyBorder="1" applyAlignment="1" applyProtection="1">
      <alignment vertical="top"/>
      <protection locked="0"/>
    </xf>
    <xf numFmtId="0" fontId="18" fillId="11" borderId="40" xfId="0" applyFont="1" applyFill="1" applyBorder="1" applyAlignment="1" applyProtection="1">
      <alignment vertical="top"/>
      <protection locked="0"/>
    </xf>
    <xf numFmtId="0" fontId="18" fillId="11" borderId="39" xfId="0" applyFont="1" applyFill="1" applyBorder="1" applyAlignment="1" applyProtection="1">
      <alignment vertical="top"/>
      <protection locked="0"/>
    </xf>
    <xf numFmtId="0" fontId="18" fillId="11" borderId="33" xfId="0" applyFont="1" applyFill="1" applyBorder="1" applyAlignment="1" applyProtection="1">
      <alignment vertical="top"/>
      <protection locked="0"/>
    </xf>
    <xf numFmtId="0" fontId="18" fillId="11" borderId="36" xfId="0" applyFont="1" applyFill="1" applyBorder="1" applyAlignment="1" applyProtection="1">
      <alignment vertical="top"/>
      <protection locked="0"/>
    </xf>
    <xf numFmtId="0" fontId="18" fillId="11" borderId="1" xfId="1" applyFont="1" applyFill="1" applyBorder="1" applyAlignment="1" applyProtection="1">
      <alignment horizontal="left" vertical="top"/>
      <protection locked="0"/>
    </xf>
    <xf numFmtId="0" fontId="18" fillId="11" borderId="3" xfId="0" applyFont="1" applyFill="1" applyBorder="1" applyAlignment="1" applyProtection="1">
      <alignment horizontal="left" vertical="top"/>
      <protection locked="0"/>
    </xf>
    <xf numFmtId="0" fontId="55" fillId="11" borderId="1" xfId="0" applyFont="1" applyFill="1" applyBorder="1" applyAlignment="1" applyProtection="1">
      <alignment horizontal="left" vertical="top"/>
      <protection locked="0"/>
    </xf>
    <xf numFmtId="0" fontId="55" fillId="15" borderId="1" xfId="0" applyFont="1" applyFill="1" applyBorder="1" applyAlignment="1" applyProtection="1">
      <alignment horizontal="left" vertical="top"/>
      <protection locked="0"/>
    </xf>
    <xf numFmtId="0" fontId="18" fillId="11" borderId="3" xfId="0" applyFont="1" applyFill="1" applyBorder="1" applyAlignment="1" applyProtection="1">
      <alignment vertical="top"/>
      <protection locked="0"/>
    </xf>
    <xf numFmtId="0" fontId="18" fillId="11" borderId="26" xfId="0" applyFont="1" applyFill="1" applyBorder="1" applyAlignment="1" applyProtection="1">
      <alignment vertical="top"/>
      <protection locked="0"/>
    </xf>
    <xf numFmtId="0" fontId="15" fillId="11" borderId="3" xfId="0" applyFont="1" applyFill="1" applyBorder="1" applyAlignment="1" applyProtection="1">
      <alignment horizontal="left" vertical="top"/>
      <protection locked="0"/>
    </xf>
    <xf numFmtId="0" fontId="18" fillId="15" borderId="3" xfId="0" applyFont="1" applyFill="1" applyBorder="1" applyAlignment="1" applyProtection="1">
      <alignment horizontal="left" vertical="top"/>
      <protection locked="0"/>
    </xf>
    <xf numFmtId="0" fontId="18" fillId="11" borderId="20" xfId="0" applyFont="1" applyFill="1" applyBorder="1" applyAlignment="1" applyProtection="1">
      <alignment vertical="top"/>
      <protection locked="0"/>
    </xf>
    <xf numFmtId="0" fontId="15" fillId="15" borderId="3" xfId="0" applyFont="1" applyFill="1" applyBorder="1" applyAlignment="1" applyProtection="1">
      <alignment horizontal="left" vertical="top"/>
      <protection locked="0"/>
    </xf>
    <xf numFmtId="0" fontId="18" fillId="11" borderId="3" xfId="1" applyFont="1" applyFill="1" applyBorder="1" applyAlignment="1" applyProtection="1">
      <alignment horizontal="left" vertical="top"/>
      <protection locked="0"/>
    </xf>
    <xf numFmtId="0" fontId="15" fillId="11" borderId="46" xfId="0" applyFont="1" applyFill="1" applyBorder="1" applyAlignment="1" applyProtection="1">
      <alignment horizontal="left" vertical="top"/>
      <protection locked="0"/>
    </xf>
    <xf numFmtId="0" fontId="18" fillId="11" borderId="46" xfId="0" applyFont="1" applyFill="1" applyBorder="1" applyAlignment="1" applyProtection="1">
      <alignment horizontal="left" vertical="top"/>
      <protection locked="0"/>
    </xf>
    <xf numFmtId="0" fontId="58" fillId="11" borderId="21" xfId="0" applyFont="1" applyFill="1" applyBorder="1" applyAlignment="1" applyProtection="1">
      <alignment horizontal="left" vertical="top"/>
      <protection locked="0"/>
    </xf>
    <xf numFmtId="0" fontId="15" fillId="11" borderId="21" xfId="0" applyFont="1" applyFill="1" applyBorder="1" applyAlignment="1" applyProtection="1">
      <alignment horizontal="left" vertical="top"/>
      <protection locked="0"/>
    </xf>
    <xf numFmtId="0" fontId="18" fillId="11" borderId="21" xfId="1" applyFont="1" applyFill="1" applyBorder="1" applyAlignment="1" applyProtection="1">
      <alignment horizontal="left" vertical="top"/>
      <protection locked="0"/>
    </xf>
    <xf numFmtId="0" fontId="15" fillId="15" borderId="21" xfId="0" applyFont="1" applyFill="1" applyBorder="1" applyAlignment="1" applyProtection="1">
      <alignment horizontal="left" vertical="top"/>
      <protection locked="0"/>
    </xf>
    <xf numFmtId="0" fontId="18" fillId="11" borderId="21" xfId="0" applyFont="1" applyFill="1" applyBorder="1" applyAlignment="1" applyProtection="1">
      <alignment horizontal="left" vertical="top"/>
      <protection locked="0"/>
    </xf>
    <xf numFmtId="0" fontId="59" fillId="11" borderId="44" xfId="0" applyFont="1" applyFill="1" applyBorder="1" applyAlignment="1" applyProtection="1">
      <alignment vertical="top"/>
      <protection locked="0"/>
    </xf>
    <xf numFmtId="0" fontId="18" fillId="11" borderId="47" xfId="0" applyFont="1" applyFill="1" applyBorder="1" applyAlignment="1" applyProtection="1">
      <alignment vertical="top"/>
      <protection locked="0"/>
    </xf>
    <xf numFmtId="0" fontId="18" fillId="11" borderId="50" xfId="0" applyFont="1" applyFill="1" applyBorder="1" applyAlignment="1" applyProtection="1">
      <alignment vertical="top"/>
      <protection locked="0"/>
    </xf>
    <xf numFmtId="0" fontId="18" fillId="16" borderId="1" xfId="0" applyFont="1" applyFill="1" applyBorder="1" applyAlignment="1" applyProtection="1">
      <alignment horizontal="left" vertical="top"/>
      <protection locked="0"/>
    </xf>
    <xf numFmtId="3" fontId="56" fillId="16" borderId="2" xfId="0" applyNumberFormat="1" applyFont="1" applyFill="1" applyBorder="1" applyAlignment="1" applyProtection="1">
      <alignment vertical="top"/>
      <protection locked="0"/>
    </xf>
    <xf numFmtId="3" fontId="56" fillId="17" borderId="20" xfId="0" applyNumberFormat="1" applyFont="1" applyFill="1" applyBorder="1" applyAlignment="1" applyProtection="1">
      <alignment vertical="top"/>
      <protection locked="0"/>
    </xf>
    <xf numFmtId="3" fontId="56" fillId="16" borderId="3" xfId="0" applyNumberFormat="1" applyFont="1" applyFill="1" applyBorder="1" applyAlignment="1" applyProtection="1">
      <alignment horizontal="right" vertical="top"/>
      <protection locked="0"/>
    </xf>
    <xf numFmtId="3" fontId="56" fillId="17" borderId="13" xfId="0" applyNumberFormat="1" applyFont="1" applyFill="1" applyBorder="1" applyAlignment="1" applyProtection="1">
      <alignment horizontal="right" vertical="top"/>
      <protection locked="0"/>
    </xf>
    <xf numFmtId="0" fontId="15" fillId="11" borderId="1" xfId="0" applyFont="1" applyFill="1" applyBorder="1" applyAlignment="1" applyProtection="1">
      <alignment horizontal="left" vertical="top" wrapText="1"/>
      <protection locked="0"/>
    </xf>
    <xf numFmtId="3" fontId="28" fillId="7" borderId="0" xfId="0" applyNumberFormat="1" applyFont="1" applyFill="1" applyAlignment="1">
      <alignment vertical="top"/>
    </xf>
    <xf numFmtId="0" fontId="28" fillId="7" borderId="0" xfId="0" applyFont="1" applyFill="1" applyAlignment="1">
      <alignment vertical="top"/>
    </xf>
    <xf numFmtId="0" fontId="0" fillId="3" borderId="46" xfId="0" applyFill="1" applyBorder="1" applyAlignment="1">
      <alignment vertical="top"/>
    </xf>
    <xf numFmtId="0" fontId="45" fillId="3" borderId="0" xfId="0" applyFont="1" applyFill="1" applyAlignment="1">
      <alignment vertical="top"/>
    </xf>
    <xf numFmtId="3" fontId="27" fillId="7" borderId="0" xfId="0" applyNumberFormat="1" applyFont="1" applyFill="1" applyAlignment="1">
      <alignment vertical="top"/>
    </xf>
    <xf numFmtId="0" fontId="27" fillId="7" borderId="0" xfId="0" applyFont="1" applyFill="1" applyAlignment="1">
      <alignment vertical="top"/>
    </xf>
    <xf numFmtId="0" fontId="0" fillId="3" borderId="94" xfId="0" applyFill="1" applyBorder="1" applyAlignment="1">
      <alignment vertical="top"/>
    </xf>
    <xf numFmtId="0" fontId="0" fillId="3" borderId="76" xfId="0" applyFill="1" applyBorder="1" applyAlignment="1">
      <alignment vertical="top"/>
    </xf>
    <xf numFmtId="0" fontId="32" fillId="7" borderId="0" xfId="0" applyFont="1" applyFill="1" applyAlignment="1">
      <alignment vertical="top"/>
    </xf>
    <xf numFmtId="0" fontId="30" fillId="7" borderId="0" xfId="0" applyFont="1" applyFill="1" applyAlignment="1">
      <alignment vertical="top"/>
    </xf>
    <xf numFmtId="3" fontId="30" fillId="7" borderId="34" xfId="0" applyNumberFormat="1" applyFont="1" applyFill="1" applyBorder="1" applyAlignment="1">
      <alignment vertical="top"/>
    </xf>
    <xf numFmtId="0" fontId="32" fillId="7" borderId="53" xfId="0" applyFont="1" applyFill="1" applyBorder="1" applyAlignment="1">
      <alignment vertical="top"/>
    </xf>
    <xf numFmtId="3" fontId="30" fillId="7" borderId="68" xfId="0" applyNumberFormat="1" applyFont="1" applyFill="1" applyBorder="1" applyAlignment="1">
      <alignment vertical="top"/>
    </xf>
    <xf numFmtId="0" fontId="32" fillId="7" borderId="54" xfId="0" applyFont="1" applyFill="1" applyBorder="1" applyAlignment="1">
      <alignment vertical="top"/>
    </xf>
    <xf numFmtId="3" fontId="32" fillId="7" borderId="43" xfId="0" applyNumberFormat="1" applyFont="1" applyFill="1" applyBorder="1" applyAlignment="1">
      <alignment vertical="top"/>
    </xf>
    <xf numFmtId="0" fontId="30" fillId="7" borderId="53" xfId="0" applyFont="1" applyFill="1" applyBorder="1" applyAlignment="1">
      <alignment vertical="top"/>
    </xf>
    <xf numFmtId="0" fontId="45" fillId="3" borderId="46" xfId="0" applyFont="1" applyFill="1" applyBorder="1" applyAlignment="1">
      <alignment vertical="top"/>
    </xf>
    <xf numFmtId="0" fontId="45" fillId="3" borderId="94" xfId="0" applyFont="1" applyFill="1" applyBorder="1" applyAlignment="1">
      <alignment vertical="top"/>
    </xf>
    <xf numFmtId="3" fontId="32" fillId="7" borderId="0" xfId="0" applyNumberFormat="1" applyFont="1" applyFill="1" applyAlignment="1">
      <alignment vertical="top"/>
    </xf>
    <xf numFmtId="3" fontId="32" fillId="7" borderId="2" xfId="0" applyNumberFormat="1" applyFont="1" applyFill="1" applyBorder="1" applyAlignment="1">
      <alignment vertical="top"/>
    </xf>
    <xf numFmtId="0" fontId="32" fillId="7" borderId="74" xfId="0" applyFont="1" applyFill="1" applyBorder="1" applyAlignment="1">
      <alignment vertical="top"/>
    </xf>
    <xf numFmtId="0" fontId="27" fillId="7" borderId="38" xfId="0" applyFont="1" applyFill="1" applyBorder="1" applyAlignment="1">
      <alignment vertical="top"/>
    </xf>
    <xf numFmtId="0" fontId="0" fillId="3" borderId="117" xfId="0" applyFill="1" applyBorder="1" applyAlignment="1">
      <alignment vertical="top"/>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8" borderId="3" xfId="0" applyFill="1" applyBorder="1" applyAlignment="1">
      <alignment horizontal="left" vertical="top" wrapText="1"/>
    </xf>
    <xf numFmtId="0" fontId="0" fillId="0" borderId="3" xfId="0" applyBorder="1" applyAlignment="1">
      <alignment horizontal="left" vertical="top" wrapText="1"/>
    </xf>
    <xf numFmtId="164" fontId="6" fillId="4" borderId="43" xfId="0" applyNumberFormat="1" applyFont="1" applyFill="1" applyBorder="1" applyAlignment="1">
      <alignment horizontal="center" vertical="top" wrapText="1"/>
    </xf>
    <xf numFmtId="0" fontId="0" fillId="0" borderId="0" xfId="0" applyAlignment="1">
      <alignment horizontal="center" vertical="top" wrapText="1"/>
    </xf>
    <xf numFmtId="0" fontId="0" fillId="0" borderId="55" xfId="0" applyBorder="1" applyAlignment="1">
      <alignment horizontal="center" vertical="top" wrapText="1"/>
    </xf>
    <xf numFmtId="0" fontId="3" fillId="0" borderId="70" xfId="0" applyFont="1" applyBorder="1" applyAlignment="1">
      <alignment horizontal="left" vertical="top" wrapText="1"/>
    </xf>
    <xf numFmtId="0" fontId="3" fillId="0" borderId="27" xfId="0" applyFont="1"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3" fillId="0" borderId="71" xfId="0" applyFont="1" applyBorder="1" applyAlignment="1">
      <alignment horizontal="left" vertical="top" wrapText="1"/>
    </xf>
    <xf numFmtId="0" fontId="3" fillId="0" borderId="57" xfId="0" applyFont="1" applyBorder="1" applyAlignment="1">
      <alignment horizontal="left" vertical="top" wrapText="1"/>
    </xf>
    <xf numFmtId="0" fontId="0" fillId="0" borderId="57" xfId="0" applyBorder="1" applyAlignment="1">
      <alignment vertical="top"/>
    </xf>
    <xf numFmtId="0" fontId="0" fillId="0" borderId="58" xfId="0" applyBorder="1" applyAlignment="1">
      <alignment vertical="top"/>
    </xf>
    <xf numFmtId="0" fontId="3" fillId="0" borderId="60" xfId="0" applyFont="1" applyBorder="1" applyAlignment="1">
      <alignment horizontal="left" vertical="top" wrapText="1"/>
    </xf>
    <xf numFmtId="1" fontId="1" fillId="4" borderId="93" xfId="0" applyNumberFormat="1" applyFont="1" applyFill="1" applyBorder="1" applyAlignment="1">
      <alignment horizontal="center" vertical="top" wrapText="1"/>
    </xf>
    <xf numFmtId="0" fontId="1" fillId="0" borderId="94" xfId="0" applyFont="1" applyBorder="1" applyAlignment="1">
      <alignment horizontal="center" vertical="top" wrapText="1"/>
    </xf>
    <xf numFmtId="0" fontId="1" fillId="0" borderId="92" xfId="0" applyFont="1" applyBorder="1" applyAlignment="1">
      <alignment horizontal="center" vertical="top" wrapText="1"/>
    </xf>
    <xf numFmtId="1" fontId="1" fillId="4" borderId="24"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0" fillId="4" borderId="28" xfId="0" applyFill="1" applyBorder="1" applyAlignment="1">
      <alignment vertical="top"/>
    </xf>
    <xf numFmtId="0" fontId="0" fillId="4" borderId="27" xfId="0" applyFill="1" applyBorder="1" applyAlignment="1">
      <alignment vertical="top"/>
    </xf>
    <xf numFmtId="0" fontId="2" fillId="2" borderId="68" xfId="0" applyFont="1" applyFill="1" applyBorder="1" applyAlignment="1">
      <alignment vertical="top" wrapText="1"/>
    </xf>
    <xf numFmtId="0" fontId="2" fillId="2" borderId="69"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8" xfId="0" applyFill="1" applyBorder="1" applyAlignment="1">
      <alignmen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77" xfId="0" applyFont="1" applyBorder="1" applyAlignment="1">
      <alignment horizontal="left" vertical="top" wrapText="1"/>
    </xf>
    <xf numFmtId="0" fontId="3" fillId="0" borderId="28" xfId="0" applyFont="1" applyBorder="1" applyAlignment="1">
      <alignment horizontal="left" vertical="top" wrapText="1"/>
    </xf>
    <xf numFmtId="0" fontId="3" fillId="0" borderId="92" xfId="0" applyFont="1" applyBorder="1" applyAlignment="1">
      <alignment horizontal="left"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42" fillId="9" borderId="11" xfId="0" applyFont="1" applyFill="1" applyBorder="1" applyAlignment="1">
      <alignment horizontal="center" vertical="top" wrapText="1"/>
    </xf>
    <xf numFmtId="0" fontId="42" fillId="9" borderId="20" xfId="0" applyFont="1" applyFill="1" applyBorder="1" applyAlignment="1">
      <alignment horizontal="center" vertical="top" wrapText="1"/>
    </xf>
    <xf numFmtId="0" fontId="42" fillId="9" borderId="19" xfId="0" applyFont="1" applyFill="1" applyBorder="1" applyAlignment="1">
      <alignment horizontal="center" vertical="top" wrapText="1"/>
    </xf>
    <xf numFmtId="0" fontId="42" fillId="9" borderId="3" xfId="0" applyFont="1" applyFill="1" applyBorder="1" applyAlignment="1">
      <alignment horizontal="center" vertical="top" wrapText="1"/>
    </xf>
    <xf numFmtId="0" fontId="42" fillId="9" borderId="3" xfId="0" applyFont="1" applyFill="1" applyBorder="1" applyAlignment="1">
      <alignment horizontal="left" vertical="top" wrapText="1"/>
    </xf>
    <xf numFmtId="3" fontId="43" fillId="0" borderId="45" xfId="0" applyNumberFormat="1" applyFont="1" applyBorder="1" applyAlignment="1">
      <alignment horizontal="left" vertical="top" wrapText="1"/>
    </xf>
    <xf numFmtId="3" fontId="43" fillId="0" borderId="44" xfId="0" applyNumberFormat="1" applyFont="1" applyBorder="1" applyAlignment="1">
      <alignment horizontal="left" vertical="top" wrapText="1"/>
    </xf>
    <xf numFmtId="0" fontId="0" fillId="0" borderId="44" xfId="0" applyBorder="1" applyAlignment="1">
      <alignment vertical="top"/>
    </xf>
    <xf numFmtId="0" fontId="0" fillId="0" borderId="3" xfId="0" applyBorder="1" applyAlignment="1">
      <alignment horizontal="center" vertical="top" wrapText="1"/>
    </xf>
    <xf numFmtId="0" fontId="0" fillId="2" borderId="108" xfId="0" applyFill="1" applyBorder="1" applyAlignment="1">
      <alignment vertical="top" wrapText="1"/>
    </xf>
    <xf numFmtId="0" fontId="2" fillId="2" borderId="101" xfId="0" applyFont="1" applyFill="1" applyBorder="1" applyAlignment="1">
      <alignment vertical="top" wrapText="1"/>
    </xf>
    <xf numFmtId="0" fontId="0" fillId="2" borderId="101" xfId="0" applyFill="1" applyBorder="1" applyAlignment="1">
      <alignment vertical="top" wrapText="1"/>
    </xf>
    <xf numFmtId="0" fontId="0" fillId="2" borderId="102" xfId="0" applyFill="1" applyBorder="1" applyAlignment="1">
      <alignmen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3" borderId="21" xfId="0" applyFill="1" applyBorder="1" applyAlignment="1">
      <alignment horizontal="left" vertical="top" wrapText="1"/>
    </xf>
    <xf numFmtId="0" fontId="0" fillId="3" borderId="16" xfId="0" applyFill="1" applyBorder="1" applyAlignment="1">
      <alignment horizontal="left" vertical="top" wrapText="1"/>
    </xf>
    <xf numFmtId="0" fontId="0" fillId="3" borderId="4" xfId="0" applyFill="1" applyBorder="1" applyAlignment="1">
      <alignment horizontal="left" vertical="top" wrapText="1"/>
    </xf>
    <xf numFmtId="0" fontId="0" fillId="3" borderId="13" xfId="0" applyFill="1" applyBorder="1" applyAlignment="1">
      <alignment horizontal="left" vertical="top" wrapText="1"/>
    </xf>
    <xf numFmtId="0" fontId="0" fillId="3" borderId="95" xfId="0" applyFill="1" applyBorder="1" applyAlignment="1">
      <alignment horizontal="left" vertical="top" wrapText="1"/>
    </xf>
    <xf numFmtId="0" fontId="0" fillId="3" borderId="18" xfId="0" applyFill="1" applyBorder="1" applyAlignment="1">
      <alignment horizontal="left" vertical="top" wrapText="1"/>
    </xf>
    <xf numFmtId="0" fontId="0" fillId="3" borderId="94" xfId="0" applyFill="1" applyBorder="1" applyAlignment="1">
      <alignment horizontal="left" vertical="top" wrapText="1"/>
    </xf>
    <xf numFmtId="0" fontId="0" fillId="3" borderId="46" xfId="0" applyFill="1" applyBorder="1" applyAlignment="1">
      <alignment horizontal="left" vertical="top" wrapText="1"/>
    </xf>
    <xf numFmtId="0" fontId="0" fillId="0" borderId="0" xfId="0" applyAlignment="1">
      <alignment vertical="top" wrapText="1"/>
    </xf>
    <xf numFmtId="0" fontId="28" fillId="6" borderId="86" xfId="0" applyFont="1" applyFill="1" applyBorder="1" applyAlignment="1">
      <alignment horizontal="center" vertical="top" wrapText="1"/>
    </xf>
    <xf numFmtId="0" fontId="28" fillId="6" borderId="67" xfId="0" applyFont="1" applyFill="1" applyBorder="1" applyAlignment="1">
      <alignment horizontal="center" vertical="top" wrapText="1"/>
    </xf>
    <xf numFmtId="0" fontId="31" fillId="6" borderId="63" xfId="0" applyFont="1" applyFill="1" applyBorder="1" applyAlignment="1">
      <alignment horizontal="center" vertical="top" wrapText="1"/>
    </xf>
    <xf numFmtId="0" fontId="31" fillId="6" borderId="64" xfId="0" applyFont="1" applyFill="1" applyBorder="1" applyAlignment="1">
      <alignment horizontal="center" vertical="top" wrapText="1"/>
    </xf>
    <xf numFmtId="0" fontId="28" fillId="6" borderId="29" xfId="0" applyFont="1" applyFill="1" applyBorder="1" applyAlignment="1">
      <alignment horizontal="center" vertical="top" wrapText="1"/>
    </xf>
    <xf numFmtId="0" fontId="31" fillId="6" borderId="55" xfId="0" applyFont="1" applyFill="1" applyBorder="1" applyAlignment="1">
      <alignment horizontal="center"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30" fillId="6" borderId="84" xfId="0" applyFont="1" applyFill="1" applyBorder="1" applyAlignment="1">
      <alignment horizontal="center" vertical="top" wrapText="1"/>
    </xf>
    <xf numFmtId="0" fontId="30" fillId="6" borderId="87" xfId="0" applyFont="1" applyFill="1" applyBorder="1" applyAlignment="1">
      <alignment horizontal="center" vertical="top" wrapText="1"/>
    </xf>
    <xf numFmtId="0" fontId="30" fillId="6" borderId="85" xfId="0" applyFont="1" applyFill="1" applyBorder="1" applyAlignment="1">
      <alignment horizontal="center" vertical="top"/>
    </xf>
    <xf numFmtId="0" fontId="30" fillId="6" borderId="61" xfId="0" applyFont="1" applyFill="1" applyBorder="1" applyAlignment="1">
      <alignment horizontal="center" vertical="top"/>
    </xf>
    <xf numFmtId="0" fontId="28"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7" xfId="0" applyBorder="1" applyAlignment="1">
      <alignment horizontal="center" vertical="top" wrapText="1"/>
    </xf>
    <xf numFmtId="0" fontId="0" fillId="0" borderId="64" xfId="0" applyBorder="1" applyAlignment="1">
      <alignment horizontal="center" vertical="top" wrapText="1"/>
    </xf>
    <xf numFmtId="0" fontId="31" fillId="13" borderId="21" xfId="0" applyFont="1" applyFill="1" applyBorder="1" applyAlignment="1">
      <alignment horizontal="center" vertical="top" wrapText="1"/>
    </xf>
    <xf numFmtId="0" fontId="31" fillId="13" borderId="1" xfId="0" applyFont="1" applyFill="1" applyBorder="1" applyAlignment="1">
      <alignment horizontal="center" vertical="top" wrapText="1"/>
    </xf>
    <xf numFmtId="0" fontId="48"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6" fillId="4" borderId="21" xfId="0" applyFont="1" applyFill="1" applyBorder="1" applyAlignment="1">
      <alignment horizontal="center" vertical="top"/>
    </xf>
    <xf numFmtId="0" fontId="6" fillId="4" borderId="1" xfId="0" applyFont="1" applyFill="1" applyBorder="1" applyAlignment="1">
      <alignment horizontal="center" vertical="top"/>
    </xf>
    <xf numFmtId="0" fontId="6" fillId="4" borderId="21" xfId="0" applyFont="1" applyFill="1" applyBorder="1" applyAlignment="1">
      <alignment horizontal="center" vertical="top" wrapText="1"/>
    </xf>
    <xf numFmtId="0" fontId="6" fillId="4" borderId="1" xfId="0" applyFont="1" applyFill="1" applyBorder="1" applyAlignment="1">
      <alignment horizontal="center" vertical="top" wrapText="1"/>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51" fillId="4" borderId="11" xfId="0" applyFont="1" applyFill="1" applyBorder="1" applyAlignment="1">
      <alignment horizontal="center" vertical="top" wrapText="1"/>
    </xf>
    <xf numFmtId="0" fontId="51" fillId="4" borderId="21" xfId="0" applyFont="1" applyFill="1" applyBorder="1" applyAlignment="1">
      <alignment horizontal="center" vertical="top" wrapText="1"/>
    </xf>
    <xf numFmtId="0" fontId="51" fillId="4" borderId="1" xfId="0" applyFont="1" applyFill="1" applyBorder="1" applyAlignment="1">
      <alignment horizontal="center" vertical="top" wrapText="1"/>
    </xf>
    <xf numFmtId="0" fontId="0" fillId="0" borderId="97" xfId="0" applyBorder="1" applyAlignment="1">
      <alignment horizontal="center"/>
    </xf>
    <xf numFmtId="0" fontId="0" fillId="0" borderId="96"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53" fillId="0" borderId="98" xfId="0" applyFont="1" applyBorder="1" applyAlignment="1">
      <alignment horizontal="center"/>
    </xf>
    <xf numFmtId="0" fontId="53" fillId="0" borderId="99" xfId="0" applyFont="1" applyBorder="1" applyAlignment="1">
      <alignment horizontal="center"/>
    </xf>
    <xf numFmtId="0" fontId="53" fillId="0" borderId="97" xfId="0" applyFont="1" applyBorder="1" applyAlignment="1">
      <alignment horizontal="center"/>
    </xf>
    <xf numFmtId="0" fontId="60" fillId="0" borderId="62" xfId="0" applyFont="1" applyBorder="1" applyAlignment="1">
      <alignment horizontal="center" vertical="center" wrapText="1"/>
    </xf>
    <xf numFmtId="0" fontId="50" fillId="0" borderId="0" xfId="0" applyFont="1" applyAlignment="1">
      <alignment horizontal="center" vertical="center" wrapText="1"/>
    </xf>
    <xf numFmtId="0" fontId="50" fillId="0" borderId="22" xfId="0" applyFont="1" applyBorder="1" applyAlignment="1">
      <alignment horizontal="center" vertical="center" wrapText="1"/>
    </xf>
    <xf numFmtId="0" fontId="1" fillId="0" borderId="44" xfId="0" applyFont="1" applyBorder="1" applyAlignment="1">
      <alignment horizontal="center" vertical="top" wrapText="1"/>
    </xf>
    <xf numFmtId="0" fontId="1" fillId="0" borderId="0" xfId="0" applyFont="1" applyAlignment="1">
      <alignment horizontal="center" vertical="top" wrapText="1"/>
    </xf>
    <xf numFmtId="0" fontId="50" fillId="0" borderId="96" xfId="0" applyFont="1" applyBorder="1" applyAlignment="1">
      <alignment horizontal="center" vertical="center" wrapText="1"/>
    </xf>
    <xf numFmtId="0" fontId="1" fillId="0" borderId="0" xfId="0" applyFont="1" applyAlignment="1">
      <alignment horizontal="center" vertical="top"/>
    </xf>
    <xf numFmtId="0" fontId="1" fillId="0" borderId="96" xfId="0" applyFont="1" applyBorder="1" applyAlignment="1">
      <alignment horizontal="center" vertical="top" wrapText="1"/>
    </xf>
    <xf numFmtId="0" fontId="63" fillId="0" borderId="0" xfId="0" applyFont="1"/>
    <xf numFmtId="0" fontId="27" fillId="0" borderId="0" xfId="0" applyFont="1" applyAlignment="1">
      <alignment horizontal="left" vertical="top" wrapText="1"/>
    </xf>
    <xf numFmtId="0" fontId="0" fillId="0" borderId="0" xfId="0" applyAlignment="1">
      <alignment vertical="top"/>
    </xf>
  </cellXfs>
  <cellStyles count="2">
    <cellStyle name="Hea" xfId="1" builtinId="26"/>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17598861.994000003</c:v>
                </c:pt>
                <c:pt idx="1">
                  <c:v>177000</c:v>
                </c:pt>
                <c:pt idx="2">
                  <c:v>0</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17209890.993999999</c:v>
                </c:pt>
                <c:pt idx="1">
                  <c:v>78000</c:v>
                </c:pt>
                <c:pt idx="2">
                  <c:v>0</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arvutused'!$C$21:$C$24</c:f>
              <c:numCache>
                <c:formatCode>#,##0</c:formatCode>
                <c:ptCount val="4"/>
                <c:pt idx="0">
                  <c:v>2056460.61</c:v>
                </c:pt>
                <c:pt idx="1">
                  <c:v>4371603.1780000003</c:v>
                </c:pt>
                <c:pt idx="2">
                  <c:v>11170798.206</c:v>
                </c:pt>
                <c:pt idx="3">
                  <c:v>177000</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arvutused'!$D$21:$D$24</c:f>
              <c:numCache>
                <c:formatCode>#,##0</c:formatCode>
                <c:ptCount val="4"/>
                <c:pt idx="0">
                  <c:v>2056460.61</c:v>
                </c:pt>
                <c:pt idx="1">
                  <c:v>4278834.4179999996</c:v>
                </c:pt>
                <c:pt idx="2">
                  <c:v>10874595.966</c:v>
                </c:pt>
                <c:pt idx="3">
                  <c:v>78000</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arvutused'!$F$81:$H$81</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arvutused'!$B$84:$B$94</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arvutused'!$F$84:$F$94</c:f>
              <c:numCache>
                <c:formatCode>#,##0</c:formatCode>
                <c:ptCount val="11"/>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arvutused'!$B$84:$B$94</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arvutused'!$G$84:$G$94</c:f>
              <c:numCache>
                <c:formatCode>#,##0</c:formatCode>
                <c:ptCount val="11"/>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12941463.11067193</c:v>
                </c:pt>
                <c:pt idx="1">
                  <c:v>5560963</c:v>
                </c:pt>
                <c:pt idx="2">
                  <c:v>0</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1350860.39907193</c:v>
                </c:pt>
                <c:pt idx="1">
                  <c:v>4269345.84</c:v>
                </c:pt>
                <c:pt idx="2">
                  <c:v>7321256.8716000002</c:v>
                </c:pt>
                <c:pt idx="3">
                  <c:v>5560963</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arvutused'!$C$81:$E$81</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arvutused'!$C$82:$E$82</c15:sqref>
                  </c15:fullRef>
                </c:ext>
              </c:extLst>
              <c:f>'Ettekande arvutused'!$C$82:$D$82</c:f>
              <c:strCache>
                <c:ptCount val="2"/>
                <c:pt idx="0">
                  <c:v>Täidetud/olemas</c:v>
                </c:pt>
                <c:pt idx="1">
                  <c:v>Täitmata</c:v>
                </c:pt>
              </c:strCache>
            </c:strRef>
          </c:cat>
          <c:val>
            <c:numRef>
              <c:extLst>
                <c:ext xmlns:c15="http://schemas.microsoft.com/office/drawing/2012/chart" uri="{02D57815-91ED-43cb-92C2-25804820EDAC}">
                  <c15:fullRef>
                    <c15:sqref>'Ettekande arvutused'!$C$83:$E$83</c15:sqref>
                  </c15:fullRef>
                </c:ext>
              </c:extLst>
              <c:f>'Ettekande arvutused'!$C$83:$D$83</c:f>
              <c:numCache>
                <c:formatCode>#,##0</c:formatCode>
                <c:ptCount val="2"/>
              </c:numCache>
            </c:numRef>
          </c:val>
          <c:extLst>
            <c:ext xmlns:c15="http://schemas.microsoft.com/office/drawing/2012/chart" uri="{02D57815-91ED-43cb-92C2-25804820EDAC}">
              <c15:categoryFilterExceptions/>
            </c:ex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arvutused'!$F$81:$H$81</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arvutused'!$F$82:$H$82</c:f>
              <c:strCache>
                <c:ptCount val="3"/>
                <c:pt idx="0">
                  <c:v>Täidetud/olemas</c:v>
                </c:pt>
                <c:pt idx="1">
                  <c:v>Täitmata</c:v>
                </c:pt>
                <c:pt idx="2">
                  <c:v>Kokku</c:v>
                </c:pt>
              </c:strCache>
            </c:strRef>
          </c:cat>
          <c:val>
            <c:numRef>
              <c:f>'Ettekande arvutused'!$F$83:$H$83</c:f>
              <c:numCache>
                <c:formatCode>#,##0</c:formatCode>
                <c:ptCount val="3"/>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1">
                  <c:v>133</c:v>
                </c:pt>
                <c:pt idx="2">
                  <c:v>135</c:v>
                </c:pt>
                <c:pt idx="3">
                  <c:v>134</c:v>
                </c:pt>
                <c:pt idx="4">
                  <c:v>137</c:v>
                </c:pt>
                <c:pt idx="5">
                  <c:v>138</c:v>
                </c:pt>
                <c:pt idx="6">
                  <c:v>138</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0</c:v>
                </c:pt>
                <c:pt idx="2">
                  <c:v>1.5037593984962569</c:v>
                </c:pt>
                <c:pt idx="3">
                  <c:v>-0.74074074074074758</c:v>
                </c:pt>
                <c:pt idx="4">
                  <c:v>2.2388059701492438</c:v>
                </c:pt>
                <c:pt idx="5">
                  <c:v>0.72992700729928117</c:v>
                </c:pt>
                <c:pt idx="6">
                  <c:v>0</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in val="10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358774</xdr:colOff>
      <xdr:row>0</xdr:row>
      <xdr:rowOff>19050</xdr:rowOff>
    </xdr:from>
    <xdr:to>
      <xdr:col>12</xdr:col>
      <xdr:colOff>440266</xdr:colOff>
      <xdr:row>16</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349249</xdr:colOff>
      <xdr:row>16</xdr:row>
      <xdr:rowOff>85725</xdr:rowOff>
    </xdr:from>
    <xdr:to>
      <xdr:col>11</xdr:col>
      <xdr:colOff>754916</xdr:colOff>
      <xdr:row>34</xdr:row>
      <xdr:rowOff>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484514</xdr:colOff>
      <xdr:row>79</xdr:row>
      <xdr:rowOff>16902</xdr:rowOff>
    </xdr:from>
    <xdr:to>
      <xdr:col>24</xdr:col>
      <xdr:colOff>150346</xdr:colOff>
      <xdr:row>98</xdr:row>
      <xdr:rowOff>28015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844550</xdr:colOff>
      <xdr:row>33</xdr:row>
      <xdr:rowOff>142875</xdr:rowOff>
    </xdr:from>
    <xdr:to>
      <xdr:col>8</xdr:col>
      <xdr:colOff>73025</xdr:colOff>
      <xdr:row>48</xdr:row>
      <xdr:rowOff>123825</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79</xdr:row>
      <xdr:rowOff>17463</xdr:rowOff>
    </xdr:from>
    <xdr:to>
      <xdr:col>14</xdr:col>
      <xdr:colOff>281780</xdr:colOff>
      <xdr:row>92</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92</xdr:row>
      <xdr:rowOff>17463</xdr:rowOff>
    </xdr:from>
    <xdr:to>
      <xdr:col>14</xdr:col>
      <xdr:colOff>257968</xdr:colOff>
      <xdr:row>106</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263898</xdr:colOff>
      <xdr:row>49</xdr:row>
      <xdr:rowOff>46880</xdr:rowOff>
    </xdr:from>
    <xdr:to>
      <xdr:col>16</xdr:col>
      <xdr:colOff>189940</xdr:colOff>
      <xdr:row>76</xdr:row>
      <xdr:rowOff>11206</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isto Raaper" id="{50BC589F-FB6A-4353-95FB-9BF61E4AA373}" userId="S::risto.raaper@kul.ee::2566d313-c939-4123-81d5-4bd08a843fba"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6" dT="2024-04-19T11:44:43.12" personId="{50BC589F-FB6A-4353-95FB-9BF61E4AA373}" id="{D3A007BB-03B3-4D8C-8058-0B1FF7280C2E}">
    <text>+km</text>
  </threadedComment>
  <threadedComment ref="C53" dT="2024-04-19T11:57:53.18" personId="{50BC589F-FB6A-4353-95FB-9BF61E4AA373}" id="{F7E993E5-F05F-4E39-ADE9-CC83E87635EA}">
    <text>Puuduvad andmed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tabColor theme="8" tint="0.59999389629810485"/>
  </sheetPr>
  <dimension ref="A1:AT137"/>
  <sheetViews>
    <sheetView topLeftCell="K71" zoomScale="90" zoomScaleNormal="90" workbookViewId="0">
      <selection activeCell="A82" sqref="A82:XFD82"/>
    </sheetView>
  </sheetViews>
  <sheetFormatPr defaultColWidth="8.7109375" defaultRowHeight="15" x14ac:dyDescent="0.25"/>
  <cols>
    <col min="1" max="1" width="21.28515625" style="1" customWidth="1"/>
    <col min="2" max="2" width="15" style="1" customWidth="1"/>
    <col min="3" max="3" width="13.7109375" style="1" customWidth="1"/>
    <col min="4" max="4" width="14.140625" style="1" customWidth="1"/>
    <col min="5" max="5" width="16.7109375" style="1" customWidth="1"/>
    <col min="6" max="6" width="18.5703125" style="1" customWidth="1"/>
    <col min="7" max="7" width="14.140625" style="1" customWidth="1"/>
    <col min="8" max="8" width="12.85546875" style="1" customWidth="1"/>
    <col min="9" max="9" width="20.28515625" style="1" customWidth="1"/>
    <col min="10" max="10" width="25.28515625" style="3" customWidth="1"/>
    <col min="11" max="11" width="42" style="1" customWidth="1"/>
    <col min="12" max="12" width="14.140625" style="1" customWidth="1"/>
    <col min="13" max="13" width="12" style="1" customWidth="1"/>
    <col min="14" max="14" width="14.28515625" style="1" customWidth="1"/>
    <col min="15" max="15" width="12.28515625" style="1" customWidth="1"/>
    <col min="16" max="16" width="8.7109375" style="1"/>
    <col min="17" max="17" width="14.85546875" style="1" bestFit="1" customWidth="1"/>
    <col min="18" max="22" width="13.140625" style="1" bestFit="1" customWidth="1"/>
    <col min="23" max="23" width="13.140625" style="1" customWidth="1"/>
    <col min="24" max="27" width="10.140625" style="1" bestFit="1" customWidth="1"/>
    <col min="28" max="28" width="10.85546875" style="1" customWidth="1"/>
    <col min="29" max="29" width="11.140625" style="1" customWidth="1"/>
    <col min="30" max="30" width="10.140625" style="1" bestFit="1" customWidth="1"/>
    <col min="31" max="31" width="11.42578125" style="1" customWidth="1"/>
    <col min="32" max="32" width="11.140625" style="1" customWidth="1"/>
    <col min="33" max="33" width="10.28515625" style="1" bestFit="1" customWidth="1"/>
    <col min="34" max="38" width="10.140625" style="1" bestFit="1" customWidth="1"/>
    <col min="39" max="41" width="10.140625" style="1" customWidth="1"/>
    <col min="42" max="42" width="40.28515625" style="1" bestFit="1" customWidth="1"/>
    <col min="43" max="43" width="37" style="1" customWidth="1"/>
    <col min="44" max="44" width="60.7109375" style="1" bestFit="1" customWidth="1"/>
    <col min="45" max="45" width="48.42578125" style="1" customWidth="1"/>
    <col min="46" max="46" width="23.28515625" style="1" customWidth="1"/>
    <col min="47" max="16384" width="8.7109375" style="1"/>
  </cols>
  <sheetData>
    <row r="1" spans="1:14" x14ac:dyDescent="0.25">
      <c r="A1" s="5" t="s">
        <v>0</v>
      </c>
      <c r="B1" s="198"/>
      <c r="C1" s="199"/>
      <c r="D1" s="199"/>
      <c r="E1" s="199"/>
      <c r="F1" s="8"/>
      <c r="G1" s="199"/>
      <c r="H1" s="325"/>
      <c r="I1" s="8"/>
    </row>
    <row r="2" spans="1:14" ht="30.75" customHeight="1" x14ac:dyDescent="0.25">
      <c r="A2" s="169" t="s">
        <v>1</v>
      </c>
      <c r="B2" s="597" t="s">
        <v>2</v>
      </c>
      <c r="C2" s="598"/>
      <c r="D2" s="598"/>
      <c r="E2" s="599"/>
      <c r="F2" s="8"/>
      <c r="G2" s="600" t="s">
        <v>3</v>
      </c>
      <c r="H2" s="601"/>
      <c r="I2" s="601"/>
      <c r="J2" s="601"/>
      <c r="K2" s="601"/>
      <c r="L2" s="532"/>
    </row>
    <row r="3" spans="1:14" ht="76.5" x14ac:dyDescent="0.25">
      <c r="A3" s="193" t="s">
        <v>4</v>
      </c>
      <c r="B3" s="194" t="s">
        <v>5</v>
      </c>
      <c r="C3" s="195">
        <v>2023</v>
      </c>
      <c r="D3" s="195">
        <v>2024</v>
      </c>
      <c r="E3" s="195">
        <v>2025</v>
      </c>
      <c r="F3" s="8"/>
      <c r="G3" s="5" t="s">
        <v>6</v>
      </c>
      <c r="H3" s="200" t="s">
        <v>7</v>
      </c>
      <c r="I3" s="201" t="s">
        <v>8</v>
      </c>
      <c r="J3" s="202" t="s">
        <v>9</v>
      </c>
      <c r="K3" s="202" t="s">
        <v>10</v>
      </c>
      <c r="L3" s="533"/>
      <c r="M3" s="8"/>
      <c r="N3" s="3"/>
    </row>
    <row r="4" spans="1:14" x14ac:dyDescent="0.25">
      <c r="A4" s="196" t="s">
        <v>11</v>
      </c>
      <c r="B4" s="9">
        <f>SUM(C4:E4)</f>
        <v>11355027.399999999</v>
      </c>
      <c r="C4" s="9">
        <f>SUM(C5+C12)</f>
        <v>994142.8</v>
      </c>
      <c r="D4" s="9">
        <f>SUM(D5+D12)</f>
        <v>7052099.7999999998</v>
      </c>
      <c r="E4" s="9">
        <f>SUM(E5+E12)</f>
        <v>3308784.8</v>
      </c>
      <c r="F4" s="8"/>
      <c r="G4" s="9">
        <f>SUM(H4:K4)</f>
        <v>20947225.699999999</v>
      </c>
      <c r="H4" s="203">
        <f>SUMIFS(Q35:Q94,G35:G94,$G$97)</f>
        <v>10182106.699999999</v>
      </c>
      <c r="I4" s="204">
        <f>SUMIFS(Q35:Q94,G35:G94,$G$98)</f>
        <v>1083300</v>
      </c>
      <c r="J4" s="204">
        <f>SUMIFS(Q35:Q94,G35:G94,$G$99)</f>
        <v>0</v>
      </c>
      <c r="K4" s="204">
        <f>SUMIFS(Q35:Q94,G35:G94,$G$100)</f>
        <v>9681819</v>
      </c>
      <c r="L4" s="534"/>
      <c r="M4" s="8"/>
      <c r="N4" s="4"/>
    </row>
    <row r="5" spans="1:14" x14ac:dyDescent="0.25">
      <c r="A5" s="196" t="s">
        <v>12</v>
      </c>
      <c r="B5" s="9">
        <f>SUM(C5:E5)</f>
        <v>3529444.4000000004</v>
      </c>
      <c r="C5" s="9">
        <f>SUM(C6:C11)</f>
        <v>739242.8</v>
      </c>
      <c r="D5" s="9">
        <f>SUM(D6:D11)</f>
        <v>1706036.8</v>
      </c>
      <c r="E5" s="9">
        <f>SUM(E6:E11)</f>
        <v>1084164.8</v>
      </c>
      <c r="F5" s="8"/>
      <c r="G5" s="8"/>
      <c r="J5" s="8"/>
      <c r="K5" s="4"/>
      <c r="L5" s="4"/>
    </row>
    <row r="6" spans="1:14" x14ac:dyDescent="0.25">
      <c r="A6" s="197" t="s">
        <v>13</v>
      </c>
      <c r="B6" s="17">
        <f>SUM(C6:E6)</f>
        <v>2522238.4000000004</v>
      </c>
      <c r="C6" s="18">
        <f>SUMIFS(R35:R94,P35:P94,"Baaseelarve")</f>
        <v>709636.8</v>
      </c>
      <c r="D6" s="18">
        <f>SUMIFS(S35:S94,P35:P94,"Baaseelarve")</f>
        <v>1053636.8</v>
      </c>
      <c r="E6" s="18">
        <f>SUMIFS(T35:T94,P35:P94,"Baaseelarve")</f>
        <v>758964.8</v>
      </c>
      <c r="F6" s="10"/>
      <c r="G6" s="8"/>
      <c r="H6" s="8"/>
      <c r="I6" s="8"/>
      <c r="J6" s="8"/>
      <c r="K6" s="4"/>
      <c r="L6" s="4"/>
    </row>
    <row r="7" spans="1:14" x14ac:dyDescent="0.25">
      <c r="A7" s="197" t="s">
        <v>14</v>
      </c>
      <c r="B7" s="17">
        <f>SUM(C7:E7)</f>
        <v>0</v>
      </c>
      <c r="C7" s="18">
        <f>SUMIFS(R35:R94,P35:P94,"Muu rahastus")</f>
        <v>0</v>
      </c>
      <c r="D7" s="18">
        <f>SUMIFS(S35:S94,P35:P94,"Muu rahastus")</f>
        <v>0</v>
      </c>
      <c r="E7" s="18">
        <f>SUMIFS(T35:T94,P35:P94,"Muu rahastus")</f>
        <v>0</v>
      </c>
      <c r="F7" s="10"/>
      <c r="G7" s="8"/>
      <c r="H7" s="8"/>
      <c r="I7" s="8"/>
      <c r="J7" s="8"/>
      <c r="K7" s="4"/>
      <c r="L7" s="4"/>
    </row>
    <row r="8" spans="1:14" x14ac:dyDescent="0.25">
      <c r="A8" s="197" t="s">
        <v>15</v>
      </c>
      <c r="B8" s="17">
        <f>SUM(C8:E8)</f>
        <v>0</v>
      </c>
      <c r="C8" s="18">
        <f>SUMIFS(R35:R94,P35:P94,"Reserv (SR)")</f>
        <v>0</v>
      </c>
      <c r="D8" s="18">
        <f>SUMIFS(S35:S94,P35:P94,"Reserv (SR)")</f>
        <v>0</v>
      </c>
      <c r="E8" s="18">
        <f>SUMIFS(T35:T94,P35:P94,"Reserv (SR)")</f>
        <v>0</v>
      </c>
      <c r="F8" s="10"/>
      <c r="G8" s="8"/>
      <c r="H8" s="8"/>
      <c r="I8" s="8"/>
      <c r="J8" s="8"/>
      <c r="K8" s="4"/>
      <c r="L8" s="4"/>
    </row>
    <row r="9" spans="1:14" hidden="1" x14ac:dyDescent="0.25">
      <c r="A9" s="197" t="s">
        <v>16</v>
      </c>
      <c r="B9" s="17">
        <f t="shared" ref="B9" si="0">SUM(C9:D9)</f>
        <v>341003</v>
      </c>
      <c r="C9" s="18">
        <f>SUMIFS(R35:R94,P35:P94,"RRF")</f>
        <v>14803</v>
      </c>
      <c r="D9" s="18">
        <f>SUMIFS(S35:S94,P35:P94,"RRF")</f>
        <v>326200</v>
      </c>
      <c r="E9" s="18"/>
      <c r="F9" s="10"/>
      <c r="G9" s="8"/>
      <c r="H9" s="8"/>
      <c r="I9" s="8"/>
      <c r="J9" s="8"/>
      <c r="K9" s="4"/>
      <c r="L9" s="4"/>
    </row>
    <row r="10" spans="1:14" x14ac:dyDescent="0.25">
      <c r="A10" s="197" t="s">
        <v>17</v>
      </c>
      <c r="B10" s="17">
        <f>SUM(C10:E10)</f>
        <v>0</v>
      </c>
      <c r="C10" s="18">
        <f>SUMIFS(R35:R94,P35:P94,"SF 14-20 (töös olev projekt)")</f>
        <v>0</v>
      </c>
      <c r="D10" s="18">
        <f>SUMIFS(S35:S94,P35:P94,"SF 14-20 (töös olev projekt)")</f>
        <v>0</v>
      </c>
      <c r="E10" s="18">
        <f>SUMIFS(T35:T94,P35:P94,"SF 14-20 (töös olev projekt)")</f>
        <v>0</v>
      </c>
      <c r="F10" s="10"/>
      <c r="G10" s="8"/>
      <c r="H10" s="8"/>
      <c r="I10" s="8"/>
      <c r="J10" s="8"/>
      <c r="K10" s="4"/>
      <c r="L10" s="4"/>
    </row>
    <row r="11" spans="1:14" x14ac:dyDescent="0.25">
      <c r="A11" s="197" t="s">
        <v>18</v>
      </c>
      <c r="B11" s="17">
        <f>SUM(C11:E11)</f>
        <v>666203</v>
      </c>
      <c r="C11" s="18">
        <f>SUMIFS(R35:R94,P35:P94,"RRF")</f>
        <v>14803</v>
      </c>
      <c r="D11" s="18">
        <f>SUMIFS(S35:S94,P35:P94,"RRF")</f>
        <v>326200</v>
      </c>
      <c r="E11" s="18">
        <f>SUMIFS(T35:T94,P35:P94,"RRF")</f>
        <v>325200</v>
      </c>
      <c r="F11" s="10"/>
      <c r="G11" s="8"/>
      <c r="H11" s="8"/>
      <c r="I11" s="8"/>
      <c r="J11" s="8"/>
      <c r="K11" s="4"/>
      <c r="L11" s="4"/>
    </row>
    <row r="12" spans="1:14" x14ac:dyDescent="0.25">
      <c r="A12" s="196" t="s">
        <v>19</v>
      </c>
      <c r="B12" s="9">
        <f>SUM(C12:E12)</f>
        <v>7825583</v>
      </c>
      <c r="C12" s="9">
        <f>SUM(C13:C14)</f>
        <v>254900</v>
      </c>
      <c r="D12" s="9">
        <f>SUM(D13:D14)</f>
        <v>5346063</v>
      </c>
      <c r="E12" s="9">
        <f>SUM(E13:E14)</f>
        <v>2224620</v>
      </c>
      <c r="F12" s="10"/>
      <c r="G12" s="8"/>
      <c r="H12" s="8"/>
      <c r="I12" s="8"/>
      <c r="J12" s="8"/>
      <c r="K12" s="4"/>
      <c r="L12" s="4"/>
    </row>
    <row r="13" spans="1:14" x14ac:dyDescent="0.25">
      <c r="A13" s="197" t="s">
        <v>20</v>
      </c>
      <c r="B13" s="17">
        <f>SUM(C13:E13)</f>
        <v>0</v>
      </c>
      <c r="C13" s="18">
        <f>SUMIFS(R35:R94,P35:P94,"RES IKT (vaja juurde taotleda)")</f>
        <v>0</v>
      </c>
      <c r="D13" s="18">
        <f>SUMIFS(S35:S94,P35:P94,"RES IKT (vaja juurde taotleda)")</f>
        <v>0</v>
      </c>
      <c r="E13" s="18">
        <f>SUMIFS(T35:T94,P35:P94,"RES IKT (vaja juurde taotleda)")</f>
        <v>0</v>
      </c>
      <c r="F13" s="10" t="s">
        <v>21</v>
      </c>
      <c r="G13" s="8"/>
      <c r="H13" s="8"/>
      <c r="I13" s="8"/>
      <c r="J13" s="8"/>
      <c r="K13" s="4"/>
      <c r="L13" s="4"/>
    </row>
    <row r="14" spans="1:14" x14ac:dyDescent="0.25">
      <c r="A14" s="197" t="s">
        <v>22</v>
      </c>
      <c r="B14" s="17">
        <f>SUM(C14:E14)</f>
        <v>7825583</v>
      </c>
      <c r="C14" s="18">
        <f>SUMIFS(R35:R94,P35:P94,"SF 21-27 (taotletav raha)")</f>
        <v>254900</v>
      </c>
      <c r="D14" s="18">
        <f>SUMIFS(S35:S94,P35:P94,"SF 21-27 (taotletav raha)")</f>
        <v>5346063</v>
      </c>
      <c r="E14" s="18">
        <f>SUMIFS(T35:T94,P35:P94,"SF 21-27 (taotletav raha)")</f>
        <v>2224620</v>
      </c>
      <c r="F14" s="10" t="s">
        <v>23</v>
      </c>
      <c r="G14" s="8"/>
      <c r="H14" s="8"/>
      <c r="I14" s="8"/>
      <c r="J14" s="8"/>
      <c r="K14" s="4"/>
      <c r="L14" s="4"/>
    </row>
    <row r="15" spans="1:14" x14ac:dyDescent="0.25">
      <c r="A15" s="6"/>
      <c r="B15" s="6"/>
      <c r="C15" s="6"/>
      <c r="D15" s="6"/>
      <c r="E15" s="6"/>
      <c r="F15" s="6"/>
      <c r="G15" s="6"/>
      <c r="H15" s="6"/>
      <c r="I15" s="6"/>
    </row>
    <row r="16" spans="1:14" ht="15.75" thickBot="1" x14ac:dyDescent="0.3">
      <c r="A16" s="10" t="s">
        <v>24</v>
      </c>
      <c r="B16" s="6"/>
      <c r="C16" s="6"/>
      <c r="D16" s="6"/>
      <c r="E16" s="6"/>
      <c r="F16" s="6"/>
      <c r="G16" s="6"/>
      <c r="H16" s="6"/>
      <c r="I16" s="6"/>
    </row>
    <row r="17" spans="1:45" ht="29.1" customHeight="1" x14ac:dyDescent="0.25">
      <c r="A17" s="51" t="s">
        <v>25</v>
      </c>
      <c r="B17" s="623" t="s">
        <v>26</v>
      </c>
      <c r="C17" s="624"/>
      <c r="D17" s="624"/>
      <c r="E17" s="624"/>
      <c r="F17" s="624"/>
      <c r="G17" s="624"/>
      <c r="H17" s="624"/>
      <c r="I17" s="624"/>
      <c r="J17" s="51" t="s">
        <v>27</v>
      </c>
      <c r="K17" s="605" t="s">
        <v>28</v>
      </c>
      <c r="L17" s="606"/>
      <c r="M17" s="607"/>
      <c r="N17" s="607"/>
      <c r="O17" s="607"/>
      <c r="P17" s="607"/>
      <c r="Q17" s="607"/>
      <c r="R17" s="608"/>
    </row>
    <row r="18" spans="1:45" x14ac:dyDescent="0.25">
      <c r="A18" s="52" t="s">
        <v>29</v>
      </c>
      <c r="B18" s="109" t="s">
        <v>30</v>
      </c>
      <c r="C18" s="110" t="s">
        <v>31</v>
      </c>
      <c r="D18" s="110" t="s">
        <v>32</v>
      </c>
      <c r="E18" s="110" t="s">
        <v>33</v>
      </c>
      <c r="F18" s="110" t="s">
        <v>34</v>
      </c>
      <c r="G18" s="110" t="s">
        <v>35</v>
      </c>
      <c r="H18" s="110" t="s">
        <v>36</v>
      </c>
      <c r="I18" s="205" t="s">
        <v>37</v>
      </c>
      <c r="J18" s="70"/>
      <c r="K18" s="3"/>
      <c r="L18" s="3"/>
      <c r="R18" s="69"/>
    </row>
    <row r="19" spans="1:45" ht="15.75" thickBot="1" x14ac:dyDescent="0.3">
      <c r="A19" s="53" t="s">
        <v>38</v>
      </c>
      <c r="B19" s="256">
        <v>0</v>
      </c>
      <c r="C19" s="239">
        <v>0</v>
      </c>
      <c r="D19" s="239">
        <v>1540000</v>
      </c>
      <c r="E19" s="239">
        <v>1540000</v>
      </c>
      <c r="F19" s="239">
        <v>1540000</v>
      </c>
      <c r="G19" s="239">
        <v>1540000</v>
      </c>
      <c r="H19" s="239">
        <v>1540000</v>
      </c>
      <c r="I19" s="240">
        <v>1540000</v>
      </c>
      <c r="J19" s="241"/>
      <c r="K19" s="609" t="s">
        <v>39</v>
      </c>
      <c r="L19" s="610"/>
      <c r="M19" s="611"/>
      <c r="N19" s="611"/>
      <c r="O19" s="611"/>
      <c r="P19" s="611"/>
      <c r="Q19" s="611"/>
      <c r="R19" s="612"/>
    </row>
    <row r="20" spans="1:45" ht="29.1" customHeight="1" x14ac:dyDescent="0.25">
      <c r="A20" s="51" t="s">
        <v>40</v>
      </c>
      <c r="B20" s="625" t="s">
        <v>41</v>
      </c>
      <c r="C20" s="626"/>
      <c r="D20" s="626"/>
      <c r="E20" s="626"/>
      <c r="F20" s="626"/>
      <c r="G20" s="626"/>
      <c r="H20" s="626"/>
      <c r="I20" s="627"/>
      <c r="J20" s="72"/>
      <c r="K20" s="605" t="s">
        <v>42</v>
      </c>
      <c r="L20" s="606"/>
      <c r="M20" s="607"/>
      <c r="N20" s="607"/>
      <c r="O20" s="607"/>
      <c r="P20" s="607"/>
      <c r="Q20" s="607"/>
      <c r="R20" s="608"/>
    </row>
    <row r="21" spans="1:45" x14ac:dyDescent="0.25">
      <c r="A21" s="52" t="s">
        <v>29</v>
      </c>
      <c r="B21" s="109" t="s">
        <v>30</v>
      </c>
      <c r="C21" s="110" t="s">
        <v>31</v>
      </c>
      <c r="D21" s="110" t="s">
        <v>32</v>
      </c>
      <c r="E21" s="110" t="s">
        <v>33</v>
      </c>
      <c r="F21" s="110" t="s">
        <v>34</v>
      </c>
      <c r="G21" s="110" t="s">
        <v>35</v>
      </c>
      <c r="H21" s="110" t="s">
        <v>36</v>
      </c>
      <c r="I21" s="205" t="s">
        <v>37</v>
      </c>
      <c r="J21" s="70"/>
      <c r="K21" s="3"/>
      <c r="L21" s="3"/>
      <c r="R21" s="69"/>
    </row>
    <row r="22" spans="1:45" x14ac:dyDescent="0.25">
      <c r="A22" s="53" t="s">
        <v>38</v>
      </c>
      <c r="B22" s="256">
        <v>0</v>
      </c>
      <c r="C22" s="239">
        <v>6</v>
      </c>
      <c r="D22" s="239">
        <v>8</v>
      </c>
      <c r="E22" s="239">
        <v>9</v>
      </c>
      <c r="F22" s="239"/>
      <c r="G22" s="239"/>
      <c r="H22" s="239"/>
      <c r="I22" s="240">
        <v>20</v>
      </c>
      <c r="J22" s="241"/>
      <c r="K22" s="609" t="s">
        <v>43</v>
      </c>
      <c r="L22" s="610"/>
      <c r="M22" s="611"/>
      <c r="N22" s="611"/>
      <c r="O22" s="611"/>
      <c r="P22" s="611"/>
      <c r="Q22" s="611"/>
      <c r="R22" s="612"/>
    </row>
    <row r="23" spans="1:45" ht="29.1" customHeight="1" x14ac:dyDescent="0.25">
      <c r="A23" s="51" t="s">
        <v>40</v>
      </c>
      <c r="B23" s="625" t="s">
        <v>44</v>
      </c>
      <c r="C23" s="626"/>
      <c r="D23" s="626"/>
      <c r="E23" s="626"/>
      <c r="F23" s="626"/>
      <c r="G23" s="626"/>
      <c r="H23" s="626"/>
      <c r="I23" s="627"/>
      <c r="J23" s="72"/>
      <c r="K23" s="605" t="s">
        <v>45</v>
      </c>
      <c r="L23" s="606"/>
      <c r="M23" s="607"/>
      <c r="N23" s="607"/>
      <c r="O23" s="607"/>
      <c r="P23" s="607"/>
      <c r="Q23" s="607"/>
      <c r="R23" s="608"/>
    </row>
    <row r="24" spans="1:45" x14ac:dyDescent="0.25">
      <c r="A24" s="52" t="s">
        <v>29</v>
      </c>
      <c r="B24" s="109" t="s">
        <v>30</v>
      </c>
      <c r="C24" s="110" t="s">
        <v>31</v>
      </c>
      <c r="D24" s="110" t="s">
        <v>32</v>
      </c>
      <c r="E24" s="110" t="s">
        <v>33</v>
      </c>
      <c r="F24" s="110" t="s">
        <v>34</v>
      </c>
      <c r="G24" s="110" t="s">
        <v>35</v>
      </c>
      <c r="H24" s="110" t="s">
        <v>36</v>
      </c>
      <c r="I24" s="205" t="s">
        <v>37</v>
      </c>
      <c r="J24" s="70"/>
      <c r="K24" s="3"/>
      <c r="L24" s="3"/>
      <c r="R24" s="69"/>
    </row>
    <row r="25" spans="1:45" x14ac:dyDescent="0.25">
      <c r="A25" s="53" t="s">
        <v>38</v>
      </c>
      <c r="B25" s="256">
        <v>0</v>
      </c>
      <c r="C25" s="239">
        <v>5</v>
      </c>
      <c r="D25" s="239">
        <v>5</v>
      </c>
      <c r="E25" s="239"/>
      <c r="F25" s="239"/>
      <c r="G25" s="239"/>
      <c r="H25" s="239"/>
      <c r="I25" s="240">
        <v>11</v>
      </c>
      <c r="J25" s="241"/>
      <c r="K25" s="609" t="s">
        <v>46</v>
      </c>
      <c r="L25" s="610"/>
      <c r="M25" s="611"/>
      <c r="N25" s="611"/>
      <c r="O25" s="611"/>
      <c r="P25" s="611"/>
      <c r="Q25" s="611"/>
      <c r="R25" s="612"/>
    </row>
    <row r="26" spans="1:45" ht="75.75" thickBot="1" x14ac:dyDescent="0.3">
      <c r="A26" s="51" t="s">
        <v>47</v>
      </c>
      <c r="B26" s="625" t="s">
        <v>48</v>
      </c>
      <c r="C26" s="626"/>
      <c r="D26" s="626"/>
      <c r="E26" s="626"/>
      <c r="F26" s="626"/>
      <c r="G26" s="626"/>
      <c r="H26" s="626"/>
      <c r="I26" s="627"/>
      <c r="J26" s="72"/>
      <c r="K26" s="605" t="s">
        <v>49</v>
      </c>
      <c r="L26" s="606"/>
      <c r="M26" s="607"/>
      <c r="N26" s="607"/>
      <c r="O26" s="607"/>
      <c r="P26" s="607"/>
      <c r="Q26" s="607"/>
      <c r="R26" s="608"/>
    </row>
    <row r="27" spans="1:45" ht="14.45" customHeight="1" x14ac:dyDescent="0.25">
      <c r="A27" s="52" t="s">
        <v>29</v>
      </c>
      <c r="B27" s="109" t="s">
        <v>30</v>
      </c>
      <c r="C27" s="110" t="s">
        <v>31</v>
      </c>
      <c r="D27" s="110" t="s">
        <v>32</v>
      </c>
      <c r="E27" s="110" t="s">
        <v>33</v>
      </c>
      <c r="F27" s="110" t="s">
        <v>34</v>
      </c>
      <c r="G27" s="110" t="s">
        <v>35</v>
      </c>
      <c r="H27" s="110" t="s">
        <v>36</v>
      </c>
      <c r="I27" s="205" t="s">
        <v>37</v>
      </c>
      <c r="J27" s="402"/>
      <c r="K27" s="396"/>
      <c r="L27" s="535"/>
      <c r="M27" s="399"/>
      <c r="N27" s="399"/>
      <c r="O27" s="399"/>
      <c r="P27" s="399"/>
      <c r="Q27" s="399"/>
      <c r="R27" s="400"/>
    </row>
    <row r="28" spans="1:45" x14ac:dyDescent="0.25">
      <c r="A28" s="53" t="s">
        <v>38</v>
      </c>
      <c r="B28" s="256">
        <v>21</v>
      </c>
      <c r="C28" s="239">
        <v>40</v>
      </c>
      <c r="D28" s="239">
        <v>40</v>
      </c>
      <c r="E28" s="239">
        <v>60</v>
      </c>
      <c r="F28" s="239">
        <v>70</v>
      </c>
      <c r="G28" s="239">
        <v>80</v>
      </c>
      <c r="H28" s="239">
        <v>90</v>
      </c>
      <c r="I28" s="240">
        <v>90</v>
      </c>
      <c r="J28" s="241"/>
      <c r="K28" s="613" t="s">
        <v>50</v>
      </c>
      <c r="L28" s="610"/>
      <c r="M28" s="611"/>
      <c r="N28" s="611"/>
      <c r="O28" s="611"/>
      <c r="P28" s="611"/>
      <c r="Q28" s="611"/>
      <c r="R28" s="612"/>
    </row>
    <row r="29" spans="1:45" x14ac:dyDescent="0.25">
      <c r="A29" s="3"/>
      <c r="B29" s="3"/>
    </row>
    <row r="31" spans="1:45" ht="15.75" thickBot="1" x14ac:dyDescent="0.3">
      <c r="C31" s="77"/>
      <c r="D31" s="77"/>
    </row>
    <row r="32" spans="1:45" ht="15.75" thickBot="1" x14ac:dyDescent="0.3">
      <c r="C32" s="77"/>
      <c r="D32" s="77"/>
      <c r="X32" s="621" t="s">
        <v>51</v>
      </c>
      <c r="Y32" s="622"/>
      <c r="Z32" s="622"/>
      <c r="AA32" s="622"/>
      <c r="AB32" s="622"/>
      <c r="AC32" s="622"/>
      <c r="AD32" s="622"/>
      <c r="AE32" s="622"/>
      <c r="AF32" s="622"/>
      <c r="AG32" s="622"/>
      <c r="AH32" s="622"/>
      <c r="AI32" s="622"/>
      <c r="AJ32" s="622"/>
      <c r="AK32" s="622"/>
      <c r="AL32" s="622"/>
      <c r="AM32" s="607"/>
      <c r="AN32" s="607"/>
      <c r="AO32" s="608"/>
      <c r="AS32" s="34"/>
    </row>
    <row r="33" spans="1:46" ht="75.75" thickBot="1" x14ac:dyDescent="0.3">
      <c r="A33" s="280" t="s">
        <v>52</v>
      </c>
      <c r="B33" s="281" t="s">
        <v>53</v>
      </c>
      <c r="C33" s="281" t="s">
        <v>54</v>
      </c>
      <c r="D33" s="282" t="s">
        <v>55</v>
      </c>
      <c r="E33" s="282" t="s">
        <v>56</v>
      </c>
      <c r="F33" s="282" t="s">
        <v>57</v>
      </c>
      <c r="G33" s="282" t="s">
        <v>58</v>
      </c>
      <c r="H33" s="282" t="s">
        <v>59</v>
      </c>
      <c r="I33" s="282" t="s">
        <v>60</v>
      </c>
      <c r="J33" s="282" t="s">
        <v>61</v>
      </c>
      <c r="K33" s="283" t="s">
        <v>62</v>
      </c>
      <c r="L33" s="536" t="s">
        <v>63</v>
      </c>
      <c r="M33" s="284" t="s">
        <v>64</v>
      </c>
      <c r="N33" s="282" t="s">
        <v>65</v>
      </c>
      <c r="O33" s="282" t="s">
        <v>66</v>
      </c>
      <c r="P33" s="282" t="s">
        <v>67</v>
      </c>
      <c r="Q33" s="285" t="s">
        <v>68</v>
      </c>
      <c r="R33" s="279">
        <v>2023</v>
      </c>
      <c r="S33" s="228">
        <v>2024</v>
      </c>
      <c r="T33" s="228">
        <v>2025</v>
      </c>
      <c r="U33" s="228">
        <v>2026</v>
      </c>
      <c r="V33" s="228">
        <v>2027</v>
      </c>
      <c r="W33" s="227">
        <v>2028</v>
      </c>
      <c r="X33" s="617" t="s">
        <v>69</v>
      </c>
      <c r="Y33" s="618"/>
      <c r="Z33" s="619"/>
      <c r="AA33" s="620">
        <v>2024</v>
      </c>
      <c r="AB33" s="618"/>
      <c r="AC33" s="619"/>
      <c r="AD33" s="620">
        <v>2025</v>
      </c>
      <c r="AE33" s="618"/>
      <c r="AF33" s="619"/>
      <c r="AG33" s="620">
        <v>2026</v>
      </c>
      <c r="AH33" s="618"/>
      <c r="AI33" s="619"/>
      <c r="AJ33" s="620">
        <v>2027</v>
      </c>
      <c r="AK33" s="618"/>
      <c r="AL33" s="618"/>
      <c r="AM33" s="614">
        <v>2028</v>
      </c>
      <c r="AN33" s="615"/>
      <c r="AO33" s="616"/>
      <c r="AP33" s="206" t="s">
        <v>70</v>
      </c>
      <c r="AQ33" s="22" t="s">
        <v>71</v>
      </c>
      <c r="AR33" s="21" t="s">
        <v>72</v>
      </c>
      <c r="AS33" s="21" t="s">
        <v>73</v>
      </c>
      <c r="AT33" s="22" t="s">
        <v>74</v>
      </c>
    </row>
    <row r="34" spans="1:46" s="207" customFormat="1" ht="169.5" customHeight="1" thickBot="1" x14ac:dyDescent="0.3">
      <c r="A34" s="403" t="s">
        <v>75</v>
      </c>
      <c r="B34" s="286" t="s">
        <v>76</v>
      </c>
      <c r="C34" s="286" t="s">
        <v>77</v>
      </c>
      <c r="D34" s="286" t="s">
        <v>78</v>
      </c>
      <c r="E34" s="287" t="s">
        <v>79</v>
      </c>
      <c r="F34" s="287" t="s">
        <v>79</v>
      </c>
      <c r="G34" s="287" t="s">
        <v>80</v>
      </c>
      <c r="H34" s="286" t="s">
        <v>81</v>
      </c>
      <c r="I34" s="286" t="s">
        <v>82</v>
      </c>
      <c r="J34" s="286" t="s">
        <v>83</v>
      </c>
      <c r="K34" s="286" t="s">
        <v>84</v>
      </c>
      <c r="L34" s="537" t="s">
        <v>85</v>
      </c>
      <c r="M34" s="288" t="s">
        <v>86</v>
      </c>
      <c r="N34" s="288" t="s">
        <v>87</v>
      </c>
      <c r="O34" s="289" t="s">
        <v>88</v>
      </c>
      <c r="P34" s="287" t="s">
        <v>79</v>
      </c>
      <c r="Q34" s="290"/>
      <c r="R34" s="602"/>
      <c r="S34" s="603"/>
      <c r="T34" s="603"/>
      <c r="U34" s="603"/>
      <c r="V34" s="603"/>
      <c r="W34" s="604"/>
      <c r="X34" s="28" t="s">
        <v>89</v>
      </c>
      <c r="Y34" s="25" t="s">
        <v>90</v>
      </c>
      <c r="Z34" s="26" t="s">
        <v>91</v>
      </c>
      <c r="AA34" s="24" t="s">
        <v>89</v>
      </c>
      <c r="AB34" s="25" t="s">
        <v>90</v>
      </c>
      <c r="AC34" s="27" t="s">
        <v>91</v>
      </c>
      <c r="AD34" s="28" t="s">
        <v>89</v>
      </c>
      <c r="AE34" s="25" t="s">
        <v>90</v>
      </c>
      <c r="AF34" s="26" t="s">
        <v>91</v>
      </c>
      <c r="AG34" s="28" t="s">
        <v>89</v>
      </c>
      <c r="AH34" s="25" t="s">
        <v>90</v>
      </c>
      <c r="AI34" s="26" t="s">
        <v>91</v>
      </c>
      <c r="AJ34" s="28" t="s">
        <v>89</v>
      </c>
      <c r="AK34" s="25" t="s">
        <v>90</v>
      </c>
      <c r="AL34" s="27" t="s">
        <v>91</v>
      </c>
      <c r="AM34" s="28" t="s">
        <v>89</v>
      </c>
      <c r="AN34" s="25" t="s">
        <v>90</v>
      </c>
      <c r="AO34" s="27" t="s">
        <v>91</v>
      </c>
      <c r="AP34" s="298" t="s">
        <v>92</v>
      </c>
      <c r="AQ34" s="299" t="s">
        <v>79</v>
      </c>
      <c r="AR34" s="311" t="s">
        <v>93</v>
      </c>
      <c r="AS34" s="311" t="s">
        <v>94</v>
      </c>
      <c r="AT34" s="299" t="s">
        <v>95</v>
      </c>
    </row>
    <row r="35" spans="1:46" s="161" customFormat="1" ht="15.75" x14ac:dyDescent="0.25">
      <c r="A35" s="538" t="s">
        <v>96</v>
      </c>
      <c r="B35" s="539" t="s">
        <v>97</v>
      </c>
      <c r="C35" s="539" t="s">
        <v>98</v>
      </c>
      <c r="D35" s="540" t="s">
        <v>99</v>
      </c>
      <c r="E35" s="540" t="s">
        <v>100</v>
      </c>
      <c r="F35" s="540" t="s">
        <v>101</v>
      </c>
      <c r="G35" s="540" t="s">
        <v>102</v>
      </c>
      <c r="H35" s="540" t="s">
        <v>103</v>
      </c>
      <c r="I35" s="540" t="s">
        <v>104</v>
      </c>
      <c r="J35" s="539" t="s">
        <v>105</v>
      </c>
      <c r="K35" s="540" t="s">
        <v>106</v>
      </c>
      <c r="L35" s="541"/>
      <c r="M35" s="540" t="s">
        <v>18</v>
      </c>
      <c r="N35" s="540"/>
      <c r="O35" s="540"/>
      <c r="P35" s="540" t="s">
        <v>18</v>
      </c>
      <c r="Q35" s="242">
        <f t="shared" ref="Q35:Q94" si="1">SUM(R35:W35)</f>
        <v>75803</v>
      </c>
      <c r="R35" s="251">
        <f t="shared" ref="R35" si="2">SUM(X35:Z35)</f>
        <v>14803</v>
      </c>
      <c r="S35" s="250">
        <f t="shared" ref="S35" si="3">SUM(AA35:AC35)</f>
        <v>61000</v>
      </c>
      <c r="T35" s="250">
        <f t="shared" ref="T35" si="4">SUM(AD35:AF35)</f>
        <v>0</v>
      </c>
      <c r="U35" s="250">
        <f t="shared" ref="U35" si="5">SUM(AG35:AI35)</f>
        <v>0</v>
      </c>
      <c r="V35" s="250">
        <f>SUM(AJ35:AL35)</f>
        <v>0</v>
      </c>
      <c r="W35" s="252">
        <f>SUM(AM35:AO35)</f>
        <v>0</v>
      </c>
      <c r="X35" s="229"/>
      <c r="Y35" s="230">
        <v>12672</v>
      </c>
      <c r="Z35" s="231">
        <v>2131</v>
      </c>
      <c r="AA35" s="232">
        <v>55000</v>
      </c>
      <c r="AB35" s="230"/>
      <c r="AC35" s="230">
        <v>6000</v>
      </c>
      <c r="AD35" s="229"/>
      <c r="AE35" s="230"/>
      <c r="AF35" s="231"/>
      <c r="AG35" s="229"/>
      <c r="AH35" s="230"/>
      <c r="AI35" s="231"/>
      <c r="AJ35" s="229"/>
      <c r="AK35" s="230"/>
      <c r="AL35" s="230"/>
      <c r="AM35" s="291"/>
      <c r="AN35" s="292"/>
      <c r="AO35" s="293"/>
      <c r="AP35" s="542" t="s">
        <v>107</v>
      </c>
      <c r="AQ35" s="543" t="s">
        <v>108</v>
      </c>
      <c r="AR35" s="544"/>
      <c r="AS35" s="545"/>
      <c r="AT35" s="545"/>
    </row>
    <row r="36" spans="1:46" s="208" customFormat="1" ht="15.75" x14ac:dyDescent="0.25">
      <c r="A36" s="538" t="s">
        <v>96</v>
      </c>
      <c r="B36" s="539" t="s">
        <v>96</v>
      </c>
      <c r="C36" s="539" t="s">
        <v>109</v>
      </c>
      <c r="D36" s="540" t="s">
        <v>110</v>
      </c>
      <c r="E36" s="540" t="s">
        <v>111</v>
      </c>
      <c r="F36" s="540" t="s">
        <v>112</v>
      </c>
      <c r="G36" s="540" t="s">
        <v>112</v>
      </c>
      <c r="H36" s="540" t="s">
        <v>113</v>
      </c>
      <c r="I36" s="540" t="s">
        <v>114</v>
      </c>
      <c r="J36" s="539" t="s">
        <v>115</v>
      </c>
      <c r="K36" s="540" t="s">
        <v>116</v>
      </c>
      <c r="L36" s="541"/>
      <c r="M36" s="540" t="s">
        <v>117</v>
      </c>
      <c r="N36" s="540"/>
      <c r="O36" s="540"/>
      <c r="P36" s="540" t="s">
        <v>118</v>
      </c>
      <c r="Q36" s="242">
        <f t="shared" si="1"/>
        <v>50000</v>
      </c>
      <c r="R36" s="243">
        <f t="shared" ref="R36" si="6">SUM(X36:Z36)</f>
        <v>0</v>
      </c>
      <c r="S36" s="253">
        <f t="shared" ref="S36" si="7">SUM(AA36:AC36)</f>
        <v>50000</v>
      </c>
      <c r="T36" s="253">
        <f t="shared" ref="T36" si="8">SUM(AD36:AF36)</f>
        <v>0</v>
      </c>
      <c r="U36" s="253">
        <f t="shared" ref="U36" si="9">SUM(AG36:AI36)</f>
        <v>0</v>
      </c>
      <c r="V36" s="254">
        <f>SUM(AJ36:AL36)</f>
        <v>0</v>
      </c>
      <c r="W36" s="255">
        <f t="shared" ref="W36:W94" si="10">SUM(AM36:AO36)</f>
        <v>0</v>
      </c>
      <c r="X36" s="229"/>
      <c r="Y36" s="230"/>
      <c r="Z36" s="231"/>
      <c r="AA36" s="232"/>
      <c r="AB36" s="230"/>
      <c r="AC36" s="230">
        <v>50000</v>
      </c>
      <c r="AD36" s="229"/>
      <c r="AE36" s="230"/>
      <c r="AF36" s="231"/>
      <c r="AG36" s="229"/>
      <c r="AH36" s="230"/>
      <c r="AI36" s="231"/>
      <c r="AJ36" s="229"/>
      <c r="AK36" s="230"/>
      <c r="AL36" s="230"/>
      <c r="AM36" s="234"/>
      <c r="AN36" s="235"/>
      <c r="AO36" s="236"/>
      <c r="AP36" s="542" t="s">
        <v>119</v>
      </c>
      <c r="AQ36" s="543" t="s">
        <v>108</v>
      </c>
      <c r="AR36" s="544"/>
      <c r="AS36" s="546"/>
      <c r="AT36" s="546"/>
    </row>
    <row r="37" spans="1:46" s="208" customFormat="1" ht="15.75" x14ac:dyDescent="0.25">
      <c r="A37" s="538" t="s">
        <v>96</v>
      </c>
      <c r="B37" s="539"/>
      <c r="C37" s="539" t="s">
        <v>120</v>
      </c>
      <c r="D37" s="540" t="s">
        <v>121</v>
      </c>
      <c r="E37" s="540" t="s">
        <v>100</v>
      </c>
      <c r="F37" s="540" t="s">
        <v>122</v>
      </c>
      <c r="G37" s="540" t="s">
        <v>102</v>
      </c>
      <c r="H37" s="540" t="s">
        <v>123</v>
      </c>
      <c r="I37" s="540" t="s">
        <v>124</v>
      </c>
      <c r="J37" s="547" t="s">
        <v>125</v>
      </c>
      <c r="K37" s="540" t="s">
        <v>126</v>
      </c>
      <c r="L37" s="541" t="s">
        <v>127</v>
      </c>
      <c r="M37" s="540" t="s">
        <v>128</v>
      </c>
      <c r="N37" s="540"/>
      <c r="O37" s="540"/>
      <c r="P37" s="568" t="s">
        <v>129</v>
      </c>
      <c r="Q37" s="242">
        <f t="shared" si="1"/>
        <v>500000</v>
      </c>
      <c r="R37" s="243">
        <f t="shared" ref="R37:R94" si="11">SUM(X37:Z37)</f>
        <v>0</v>
      </c>
      <c r="S37" s="253">
        <f t="shared" ref="S37:S94" si="12">SUM(AA37:AC37)</f>
        <v>500000</v>
      </c>
      <c r="T37" s="253">
        <f t="shared" ref="T37:T94" si="13">SUM(AD37:AF37)</f>
        <v>0</v>
      </c>
      <c r="U37" s="253">
        <f t="shared" ref="U37:U94" si="14">SUM(AG37:AI37)</f>
        <v>0</v>
      </c>
      <c r="V37" s="254">
        <f t="shared" ref="V37:V94" si="15">SUM(AJ37:AL37)</f>
        <v>0</v>
      </c>
      <c r="W37" s="255">
        <f t="shared" si="10"/>
        <v>0</v>
      </c>
      <c r="X37" s="229"/>
      <c r="Y37" s="230"/>
      <c r="Z37" s="231"/>
      <c r="AA37" s="232">
        <v>500000</v>
      </c>
      <c r="AB37" s="230"/>
      <c r="AC37" s="230"/>
      <c r="AD37" s="229"/>
      <c r="AE37" s="230"/>
      <c r="AF37" s="231"/>
      <c r="AG37" s="229"/>
      <c r="AH37" s="230"/>
      <c r="AI37" s="231"/>
      <c r="AJ37" s="229"/>
      <c r="AK37" s="230"/>
      <c r="AL37" s="230"/>
      <c r="AM37" s="234"/>
      <c r="AN37" s="235"/>
      <c r="AO37" s="236"/>
      <c r="AP37" s="542" t="s">
        <v>130</v>
      </c>
      <c r="AQ37" s="543" t="s">
        <v>131</v>
      </c>
      <c r="AR37" s="544"/>
      <c r="AS37" s="546"/>
      <c r="AT37" s="546"/>
    </row>
    <row r="38" spans="1:46" s="208" customFormat="1" ht="15.75" x14ac:dyDescent="0.25">
      <c r="A38" s="538" t="s">
        <v>96</v>
      </c>
      <c r="B38" s="539" t="s">
        <v>121</v>
      </c>
      <c r="C38" s="539" t="s">
        <v>120</v>
      </c>
      <c r="D38" s="540" t="s">
        <v>121</v>
      </c>
      <c r="E38" s="540" t="s">
        <v>100</v>
      </c>
      <c r="F38" s="540" t="s">
        <v>122</v>
      </c>
      <c r="G38" s="540" t="s">
        <v>102</v>
      </c>
      <c r="H38" s="540" t="s">
        <v>123</v>
      </c>
      <c r="I38" s="540" t="s">
        <v>124</v>
      </c>
      <c r="J38" s="547" t="s">
        <v>132</v>
      </c>
      <c r="K38" s="540" t="s">
        <v>126</v>
      </c>
      <c r="L38" s="541"/>
      <c r="M38" s="540" t="s">
        <v>117</v>
      </c>
      <c r="N38" s="540"/>
      <c r="O38" s="540"/>
      <c r="P38" s="540" t="s">
        <v>118</v>
      </c>
      <c r="Q38" s="242">
        <f t="shared" si="1"/>
        <v>132684</v>
      </c>
      <c r="R38" s="243">
        <f t="shared" si="11"/>
        <v>0</v>
      </c>
      <c r="S38" s="253">
        <f t="shared" si="12"/>
        <v>0</v>
      </c>
      <c r="T38" s="253">
        <f t="shared" si="13"/>
        <v>44228</v>
      </c>
      <c r="U38" s="253">
        <f t="shared" si="14"/>
        <v>44228</v>
      </c>
      <c r="V38" s="254">
        <f t="shared" si="15"/>
        <v>44228</v>
      </c>
      <c r="W38" s="255">
        <f t="shared" si="10"/>
        <v>0</v>
      </c>
      <c r="X38" s="229"/>
      <c r="Y38" s="230"/>
      <c r="Z38" s="231"/>
      <c r="AA38" s="232"/>
      <c r="AB38" s="230"/>
      <c r="AC38" s="230"/>
      <c r="AD38" s="229"/>
      <c r="AE38" s="230"/>
      <c r="AF38" s="231">
        <v>44228</v>
      </c>
      <c r="AG38" s="229"/>
      <c r="AH38" s="230"/>
      <c r="AI38" s="231">
        <v>44228</v>
      </c>
      <c r="AJ38" s="229"/>
      <c r="AK38" s="230"/>
      <c r="AL38" s="230">
        <v>44228</v>
      </c>
      <c r="AM38" s="234"/>
      <c r="AN38" s="235"/>
      <c r="AO38" s="236"/>
      <c r="AP38" s="542" t="s">
        <v>130</v>
      </c>
      <c r="AQ38" s="543" t="s">
        <v>133</v>
      </c>
      <c r="AR38" s="544"/>
      <c r="AS38" s="546"/>
      <c r="AT38" s="546"/>
    </row>
    <row r="39" spans="1:46" s="208" customFormat="1" ht="90" x14ac:dyDescent="0.25">
      <c r="A39" s="538" t="s">
        <v>96</v>
      </c>
      <c r="B39" s="539"/>
      <c r="C39" s="573" t="s">
        <v>134</v>
      </c>
      <c r="D39" s="540" t="s">
        <v>96</v>
      </c>
      <c r="E39" s="540" t="s">
        <v>100</v>
      </c>
      <c r="F39" s="540" t="s">
        <v>135</v>
      </c>
      <c r="G39" s="540" t="s">
        <v>102</v>
      </c>
      <c r="H39" s="540" t="s">
        <v>136</v>
      </c>
      <c r="I39" s="540" t="s">
        <v>137</v>
      </c>
      <c r="J39" s="539" t="s">
        <v>138</v>
      </c>
      <c r="K39" s="540" t="s">
        <v>139</v>
      </c>
      <c r="L39" s="541" t="s">
        <v>140</v>
      </c>
      <c r="M39" s="540" t="s">
        <v>128</v>
      </c>
      <c r="N39" s="540"/>
      <c r="O39" s="540"/>
      <c r="P39" s="568" t="s">
        <v>129</v>
      </c>
      <c r="Q39" s="242">
        <f t="shared" si="1"/>
        <v>350000</v>
      </c>
      <c r="R39" s="243">
        <f t="shared" si="11"/>
        <v>0</v>
      </c>
      <c r="S39" s="253">
        <f>SUM(AA39:AC39)</f>
        <v>350000</v>
      </c>
      <c r="T39" s="253">
        <f t="shared" si="13"/>
        <v>0</v>
      </c>
      <c r="U39" s="253">
        <f t="shared" si="14"/>
        <v>0</v>
      </c>
      <c r="V39" s="254">
        <f t="shared" si="15"/>
        <v>0</v>
      </c>
      <c r="W39" s="255">
        <f t="shared" si="10"/>
        <v>0</v>
      </c>
      <c r="X39" s="229"/>
      <c r="Y39" s="230"/>
      <c r="Z39" s="231"/>
      <c r="AA39" s="232">
        <v>350000</v>
      </c>
      <c r="AB39" s="230"/>
      <c r="AC39" s="230"/>
      <c r="AD39" s="229"/>
      <c r="AE39" s="230"/>
      <c r="AF39" s="231"/>
      <c r="AG39" s="229"/>
      <c r="AH39" s="237"/>
      <c r="AI39" s="231"/>
      <c r="AJ39" s="229"/>
      <c r="AK39" s="230"/>
      <c r="AL39" s="230"/>
      <c r="AM39" s="234"/>
      <c r="AN39" s="235"/>
      <c r="AO39" s="236"/>
      <c r="AP39" s="542" t="s">
        <v>141</v>
      </c>
      <c r="AQ39" s="543" t="s">
        <v>131</v>
      </c>
      <c r="AR39" s="544"/>
      <c r="AS39" s="546"/>
      <c r="AT39" s="546"/>
    </row>
    <row r="40" spans="1:46" s="161" customFormat="1" ht="15.75" x14ac:dyDescent="0.25">
      <c r="A40" s="538" t="s">
        <v>96</v>
      </c>
      <c r="B40" s="539" t="s">
        <v>96</v>
      </c>
      <c r="C40" s="539" t="s">
        <v>142</v>
      </c>
      <c r="D40" s="540" t="s">
        <v>96</v>
      </c>
      <c r="E40" s="540" t="s">
        <v>100</v>
      </c>
      <c r="F40" s="548" t="s">
        <v>135</v>
      </c>
      <c r="G40" s="548" t="s">
        <v>143</v>
      </c>
      <c r="H40" s="540" t="s">
        <v>136</v>
      </c>
      <c r="I40" s="540" t="s">
        <v>137</v>
      </c>
      <c r="J40" s="539" t="s">
        <v>144</v>
      </c>
      <c r="K40" s="540" t="s">
        <v>139</v>
      </c>
      <c r="L40" s="541"/>
      <c r="M40" s="540" t="s">
        <v>117</v>
      </c>
      <c r="N40" s="540"/>
      <c r="O40" s="540"/>
      <c r="P40" s="540" t="s">
        <v>118</v>
      </c>
      <c r="Q40" s="242">
        <f t="shared" si="1"/>
        <v>108000</v>
      </c>
      <c r="R40" s="243">
        <f t="shared" si="11"/>
        <v>0</v>
      </c>
      <c r="S40" s="253">
        <f t="shared" si="12"/>
        <v>0</v>
      </c>
      <c r="T40" s="253">
        <f t="shared" si="13"/>
        <v>36000</v>
      </c>
      <c r="U40" s="253">
        <f t="shared" si="14"/>
        <v>36000</v>
      </c>
      <c r="V40" s="254">
        <f t="shared" si="15"/>
        <v>36000</v>
      </c>
      <c r="W40" s="255">
        <f t="shared" si="10"/>
        <v>0</v>
      </c>
      <c r="X40" s="229"/>
      <c r="Y40" s="230"/>
      <c r="Z40" s="231"/>
      <c r="AA40" s="232"/>
      <c r="AB40" s="230"/>
      <c r="AC40" s="230"/>
      <c r="AD40" s="229"/>
      <c r="AE40" s="230"/>
      <c r="AF40" s="231">
        <v>36000</v>
      </c>
      <c r="AG40" s="229"/>
      <c r="AH40" s="230"/>
      <c r="AI40" s="231">
        <v>36000</v>
      </c>
      <c r="AJ40" s="229"/>
      <c r="AK40" s="230"/>
      <c r="AL40" s="230">
        <v>36000</v>
      </c>
      <c r="AM40" s="234"/>
      <c r="AN40" s="235"/>
      <c r="AO40" s="236"/>
      <c r="AP40" s="542" t="s">
        <v>145</v>
      </c>
      <c r="AQ40" s="543" t="s">
        <v>133</v>
      </c>
      <c r="AR40" s="544"/>
      <c r="AS40" s="546"/>
      <c r="AT40" s="546"/>
    </row>
    <row r="41" spans="1:46" s="208" customFormat="1" ht="15.75" x14ac:dyDescent="0.25">
      <c r="A41" s="538" t="s">
        <v>96</v>
      </c>
      <c r="B41" s="539"/>
      <c r="C41" s="539" t="s">
        <v>146</v>
      </c>
      <c r="D41" s="540" t="s">
        <v>147</v>
      </c>
      <c r="E41" s="540" t="s">
        <v>100</v>
      </c>
      <c r="F41" s="548" t="s">
        <v>135</v>
      </c>
      <c r="G41" s="548" t="s">
        <v>102</v>
      </c>
      <c r="H41" s="540" t="s">
        <v>148</v>
      </c>
      <c r="I41" s="540" t="s">
        <v>149</v>
      </c>
      <c r="J41" s="539" t="s">
        <v>150</v>
      </c>
      <c r="K41" s="540" t="s">
        <v>151</v>
      </c>
      <c r="L41" s="541" t="s">
        <v>140</v>
      </c>
      <c r="M41" s="540" t="s">
        <v>128</v>
      </c>
      <c r="N41" s="540"/>
      <c r="O41" s="540"/>
      <c r="P41" s="568" t="s">
        <v>129</v>
      </c>
      <c r="Q41" s="242">
        <f t="shared" si="1"/>
        <v>500000</v>
      </c>
      <c r="R41" s="243">
        <f t="shared" si="11"/>
        <v>0</v>
      </c>
      <c r="S41" s="253">
        <f t="shared" si="12"/>
        <v>500000</v>
      </c>
      <c r="T41" s="253">
        <f t="shared" si="13"/>
        <v>0</v>
      </c>
      <c r="U41" s="253">
        <f t="shared" si="14"/>
        <v>0</v>
      </c>
      <c r="V41" s="254">
        <f t="shared" si="15"/>
        <v>0</v>
      </c>
      <c r="W41" s="255">
        <f t="shared" si="10"/>
        <v>0</v>
      </c>
      <c r="X41" s="229"/>
      <c r="Y41" s="230"/>
      <c r="Z41" s="231"/>
      <c r="AA41" s="232">
        <v>500000</v>
      </c>
      <c r="AB41" s="230"/>
      <c r="AC41" s="230"/>
      <c r="AD41" s="229"/>
      <c r="AE41" s="230"/>
      <c r="AF41" s="231"/>
      <c r="AG41" s="229"/>
      <c r="AH41" s="230"/>
      <c r="AI41" s="231"/>
      <c r="AJ41" s="229"/>
      <c r="AK41" s="230"/>
      <c r="AL41" s="230"/>
      <c r="AM41" s="234"/>
      <c r="AN41" s="235"/>
      <c r="AO41" s="236"/>
      <c r="AP41" s="542" t="s">
        <v>152</v>
      </c>
      <c r="AQ41" s="543" t="s">
        <v>153</v>
      </c>
      <c r="AR41" s="544"/>
      <c r="AS41" s="546"/>
      <c r="AT41" s="546"/>
    </row>
    <row r="42" spans="1:46" s="208" customFormat="1" ht="15.75" x14ac:dyDescent="0.25">
      <c r="A42" s="538" t="s">
        <v>96</v>
      </c>
      <c r="B42" s="539" t="s">
        <v>147</v>
      </c>
      <c r="C42" s="539" t="s">
        <v>146</v>
      </c>
      <c r="D42" s="540" t="s">
        <v>147</v>
      </c>
      <c r="E42" s="540" t="s">
        <v>100</v>
      </c>
      <c r="F42" s="548" t="s">
        <v>135</v>
      </c>
      <c r="G42" s="548" t="s">
        <v>102</v>
      </c>
      <c r="H42" s="540" t="s">
        <v>148</v>
      </c>
      <c r="I42" s="540" t="s">
        <v>149</v>
      </c>
      <c r="J42" s="547" t="s">
        <v>154</v>
      </c>
      <c r="K42" s="540" t="s">
        <v>151</v>
      </c>
      <c r="L42" s="541"/>
      <c r="M42" s="540" t="s">
        <v>117</v>
      </c>
      <c r="N42" s="540"/>
      <c r="O42" s="540"/>
      <c r="P42" s="540" t="s">
        <v>118</v>
      </c>
      <c r="Q42" s="242">
        <f t="shared" si="1"/>
        <v>1953184</v>
      </c>
      <c r="R42" s="243">
        <f t="shared" si="11"/>
        <v>390636.79999999999</v>
      </c>
      <c r="S42" s="253">
        <f t="shared" si="12"/>
        <v>390636.79999999999</v>
      </c>
      <c r="T42" s="253">
        <f t="shared" si="13"/>
        <v>390636.79999999999</v>
      </c>
      <c r="U42" s="253">
        <f t="shared" si="14"/>
        <v>390636.79999999999</v>
      </c>
      <c r="V42" s="254">
        <f t="shared" si="15"/>
        <v>390636.79999999999</v>
      </c>
      <c r="W42" s="255">
        <f t="shared" si="10"/>
        <v>0</v>
      </c>
      <c r="X42" s="229"/>
      <c r="Y42" s="230"/>
      <c r="Z42" s="231">
        <v>390636.79999999999</v>
      </c>
      <c r="AA42" s="232"/>
      <c r="AB42" s="230"/>
      <c r="AC42" s="230">
        <v>390636.79999999999</v>
      </c>
      <c r="AD42" s="229"/>
      <c r="AE42" s="230"/>
      <c r="AF42" s="231">
        <v>390636.79999999999</v>
      </c>
      <c r="AG42" s="229"/>
      <c r="AH42" s="230"/>
      <c r="AI42" s="231">
        <v>390636.79999999999</v>
      </c>
      <c r="AJ42" s="229"/>
      <c r="AK42" s="230"/>
      <c r="AL42" s="230">
        <v>390636.79999999999</v>
      </c>
      <c r="AM42" s="234"/>
      <c r="AN42" s="235"/>
      <c r="AO42" s="236"/>
      <c r="AP42" s="542" t="s">
        <v>155</v>
      </c>
      <c r="AQ42" s="543" t="s">
        <v>133</v>
      </c>
      <c r="AR42" s="544"/>
      <c r="AS42" s="546"/>
      <c r="AT42" s="546"/>
    </row>
    <row r="43" spans="1:46" s="208" customFormat="1" ht="15.75" x14ac:dyDescent="0.25">
      <c r="A43" s="538" t="s">
        <v>96</v>
      </c>
      <c r="B43" s="539"/>
      <c r="C43" s="539" t="s">
        <v>120</v>
      </c>
      <c r="D43" s="540" t="s">
        <v>121</v>
      </c>
      <c r="E43" s="540" t="s">
        <v>100</v>
      </c>
      <c r="F43" s="548" t="s">
        <v>135</v>
      </c>
      <c r="G43" s="548" t="s">
        <v>102</v>
      </c>
      <c r="H43" s="540" t="s">
        <v>123</v>
      </c>
      <c r="I43" s="540" t="s">
        <v>156</v>
      </c>
      <c r="J43" s="539" t="s">
        <v>157</v>
      </c>
      <c r="K43" s="540" t="s">
        <v>158</v>
      </c>
      <c r="L43" s="541" t="s">
        <v>140</v>
      </c>
      <c r="M43" s="540" t="s">
        <v>128</v>
      </c>
      <c r="N43" s="540"/>
      <c r="O43" s="540"/>
      <c r="P43" s="568" t="s">
        <v>129</v>
      </c>
      <c r="Q43" s="242">
        <f t="shared" si="1"/>
        <v>210000</v>
      </c>
      <c r="R43" s="243">
        <f t="shared" si="11"/>
        <v>0</v>
      </c>
      <c r="S43" s="253">
        <f t="shared" si="12"/>
        <v>210000</v>
      </c>
      <c r="T43" s="253">
        <f t="shared" si="13"/>
        <v>0</v>
      </c>
      <c r="U43" s="253">
        <f t="shared" si="14"/>
        <v>0</v>
      </c>
      <c r="V43" s="254">
        <f t="shared" si="15"/>
        <v>0</v>
      </c>
      <c r="W43" s="255">
        <f t="shared" si="10"/>
        <v>0</v>
      </c>
      <c r="X43" s="229"/>
      <c r="Y43" s="230"/>
      <c r="Z43" s="231"/>
      <c r="AA43" s="232">
        <v>210000</v>
      </c>
      <c r="AB43" s="230"/>
      <c r="AC43" s="230"/>
      <c r="AD43" s="229"/>
      <c r="AE43" s="230"/>
      <c r="AF43" s="231"/>
      <c r="AG43" s="229"/>
      <c r="AH43" s="230"/>
      <c r="AI43" s="231"/>
      <c r="AJ43" s="229"/>
      <c r="AK43" s="230"/>
      <c r="AL43" s="230"/>
      <c r="AM43" s="234"/>
      <c r="AN43" s="235"/>
      <c r="AO43" s="236"/>
      <c r="AP43" s="542" t="s">
        <v>159</v>
      </c>
      <c r="AQ43" s="543" t="s">
        <v>131</v>
      </c>
      <c r="AR43" s="544"/>
      <c r="AS43" s="546"/>
      <c r="AT43" s="546"/>
    </row>
    <row r="44" spans="1:46" s="208" customFormat="1" ht="15.75" x14ac:dyDescent="0.25">
      <c r="A44" s="538" t="s">
        <v>96</v>
      </c>
      <c r="B44" s="539" t="s">
        <v>121</v>
      </c>
      <c r="C44" s="539" t="s">
        <v>120</v>
      </c>
      <c r="D44" s="540" t="s">
        <v>121</v>
      </c>
      <c r="E44" s="540" t="s">
        <v>100</v>
      </c>
      <c r="F44" s="548" t="s">
        <v>135</v>
      </c>
      <c r="G44" s="548" t="s">
        <v>143</v>
      </c>
      <c r="H44" s="540" t="s">
        <v>123</v>
      </c>
      <c r="I44" s="540" t="s">
        <v>156</v>
      </c>
      <c r="J44" s="547" t="s">
        <v>160</v>
      </c>
      <c r="K44" s="540" t="s">
        <v>158</v>
      </c>
      <c r="L44" s="541"/>
      <c r="M44" s="540" t="s">
        <v>117</v>
      </c>
      <c r="N44" s="540"/>
      <c r="O44" s="540"/>
      <c r="P44" s="540" t="s">
        <v>118</v>
      </c>
      <c r="Q44" s="242">
        <f t="shared" si="1"/>
        <v>141000</v>
      </c>
      <c r="R44" s="243">
        <f t="shared" si="11"/>
        <v>0</v>
      </c>
      <c r="S44" s="253">
        <f t="shared" si="12"/>
        <v>0</v>
      </c>
      <c r="T44" s="253">
        <f t="shared" si="13"/>
        <v>47000</v>
      </c>
      <c r="U44" s="253">
        <f t="shared" si="14"/>
        <v>47000</v>
      </c>
      <c r="V44" s="254">
        <f t="shared" si="15"/>
        <v>47000</v>
      </c>
      <c r="W44" s="255">
        <f t="shared" si="10"/>
        <v>0</v>
      </c>
      <c r="X44" s="229"/>
      <c r="Y44" s="230"/>
      <c r="Z44" s="231"/>
      <c r="AA44" s="232"/>
      <c r="AB44" s="230"/>
      <c r="AC44" s="230"/>
      <c r="AD44" s="229"/>
      <c r="AE44" s="230"/>
      <c r="AF44" s="231">
        <v>47000</v>
      </c>
      <c r="AG44" s="229"/>
      <c r="AH44" s="230"/>
      <c r="AI44" s="231">
        <v>47000</v>
      </c>
      <c r="AJ44" s="229"/>
      <c r="AK44" s="230"/>
      <c r="AL44" s="230">
        <v>47000</v>
      </c>
      <c r="AM44" s="234"/>
      <c r="AN44" s="235"/>
      <c r="AO44" s="236"/>
      <c r="AP44" s="542" t="s">
        <v>159</v>
      </c>
      <c r="AQ44" s="543" t="s">
        <v>133</v>
      </c>
      <c r="AR44" s="544"/>
      <c r="AS44" s="546"/>
      <c r="AT44" s="546"/>
    </row>
    <row r="45" spans="1:46" s="208" customFormat="1" ht="15.75" x14ac:dyDescent="0.25">
      <c r="A45" s="538" t="s">
        <v>96</v>
      </c>
      <c r="B45" s="539"/>
      <c r="C45" s="539" t="s">
        <v>120</v>
      </c>
      <c r="D45" s="540" t="s">
        <v>121</v>
      </c>
      <c r="E45" s="540" t="s">
        <v>100</v>
      </c>
      <c r="F45" s="548" t="s">
        <v>135</v>
      </c>
      <c r="G45" s="548" t="s">
        <v>102</v>
      </c>
      <c r="H45" s="540" t="s">
        <v>123</v>
      </c>
      <c r="I45" s="540" t="s">
        <v>161</v>
      </c>
      <c r="J45" s="547" t="s">
        <v>162</v>
      </c>
      <c r="K45" s="540" t="s">
        <v>163</v>
      </c>
      <c r="L45" s="541" t="s">
        <v>140</v>
      </c>
      <c r="M45" s="540" t="s">
        <v>128</v>
      </c>
      <c r="N45" s="540"/>
      <c r="O45" s="540" t="s">
        <v>164</v>
      </c>
      <c r="P45" s="568" t="s">
        <v>129</v>
      </c>
      <c r="Q45" s="242">
        <f t="shared" si="1"/>
        <v>300000</v>
      </c>
      <c r="R45" s="243">
        <f t="shared" si="11"/>
        <v>0</v>
      </c>
      <c r="S45" s="253">
        <f t="shared" si="12"/>
        <v>300000</v>
      </c>
      <c r="T45" s="253">
        <f t="shared" si="13"/>
        <v>0</v>
      </c>
      <c r="U45" s="253">
        <f t="shared" si="14"/>
        <v>0</v>
      </c>
      <c r="V45" s="254">
        <f t="shared" si="15"/>
        <v>0</v>
      </c>
      <c r="W45" s="255">
        <f t="shared" si="10"/>
        <v>0</v>
      </c>
      <c r="X45" s="229"/>
      <c r="Y45" s="230"/>
      <c r="Z45" s="231"/>
      <c r="AA45" s="232">
        <v>300000</v>
      </c>
      <c r="AB45" s="230"/>
      <c r="AC45" s="230"/>
      <c r="AD45" s="229"/>
      <c r="AE45" s="230"/>
      <c r="AF45" s="231"/>
      <c r="AG45" s="229"/>
      <c r="AH45" s="230"/>
      <c r="AI45" s="231"/>
      <c r="AJ45" s="229"/>
      <c r="AK45" s="230"/>
      <c r="AL45" s="230"/>
      <c r="AM45" s="234"/>
      <c r="AN45" s="235"/>
      <c r="AO45" s="236"/>
      <c r="AP45" s="542" t="s">
        <v>159</v>
      </c>
      <c r="AQ45" s="543" t="s">
        <v>131</v>
      </c>
      <c r="AR45" s="544"/>
      <c r="AS45" s="546"/>
      <c r="AT45" s="546"/>
    </row>
    <row r="46" spans="1:46" s="161" customFormat="1" ht="15.75" x14ac:dyDescent="0.25">
      <c r="A46" s="538" t="s">
        <v>96</v>
      </c>
      <c r="B46" s="539" t="s">
        <v>121</v>
      </c>
      <c r="C46" s="539" t="s">
        <v>120</v>
      </c>
      <c r="D46" s="540" t="s">
        <v>121</v>
      </c>
      <c r="E46" s="540" t="s">
        <v>100</v>
      </c>
      <c r="F46" s="548" t="s">
        <v>135</v>
      </c>
      <c r="G46" s="548" t="s">
        <v>143</v>
      </c>
      <c r="H46" s="540" t="s">
        <v>123</v>
      </c>
      <c r="I46" s="540" t="s">
        <v>161</v>
      </c>
      <c r="J46" s="539" t="s">
        <v>165</v>
      </c>
      <c r="K46" s="540" t="s">
        <v>163</v>
      </c>
      <c r="L46" s="541"/>
      <c r="M46" s="540" t="s">
        <v>117</v>
      </c>
      <c r="N46" s="540"/>
      <c r="O46" s="540"/>
      <c r="P46" s="540" t="s">
        <v>118</v>
      </c>
      <c r="Q46" s="242">
        <f t="shared" si="1"/>
        <v>219300</v>
      </c>
      <c r="R46" s="243">
        <f t="shared" si="11"/>
        <v>0</v>
      </c>
      <c r="S46" s="253">
        <f t="shared" si="12"/>
        <v>0</v>
      </c>
      <c r="T46" s="253">
        <f t="shared" si="13"/>
        <v>73100</v>
      </c>
      <c r="U46" s="253">
        <f t="shared" si="14"/>
        <v>73100</v>
      </c>
      <c r="V46" s="254">
        <f t="shared" si="15"/>
        <v>73100</v>
      </c>
      <c r="W46" s="255">
        <f t="shared" si="10"/>
        <v>0</v>
      </c>
      <c r="X46" s="229"/>
      <c r="Y46" s="230"/>
      <c r="Z46" s="231"/>
      <c r="AA46" s="232"/>
      <c r="AB46" s="230"/>
      <c r="AC46" s="230"/>
      <c r="AD46" s="229"/>
      <c r="AE46" s="230">
        <v>25700</v>
      </c>
      <c r="AF46" s="231">
        <v>47400</v>
      </c>
      <c r="AG46" s="229"/>
      <c r="AH46" s="230">
        <v>25700</v>
      </c>
      <c r="AI46" s="231">
        <v>47400</v>
      </c>
      <c r="AJ46" s="229"/>
      <c r="AK46" s="230">
        <v>25700</v>
      </c>
      <c r="AL46" s="230">
        <v>47400</v>
      </c>
      <c r="AM46" s="234"/>
      <c r="AN46" s="235"/>
      <c r="AO46" s="236"/>
      <c r="AP46" s="542" t="s">
        <v>159</v>
      </c>
      <c r="AQ46" s="543" t="s">
        <v>133</v>
      </c>
      <c r="AR46" s="544"/>
      <c r="AS46" s="546"/>
      <c r="AT46" s="546"/>
    </row>
    <row r="47" spans="1:46" s="161" customFormat="1" ht="15.75" x14ac:dyDescent="0.25">
      <c r="A47" s="538" t="s">
        <v>96</v>
      </c>
      <c r="B47" s="539"/>
      <c r="C47" s="539" t="s">
        <v>166</v>
      </c>
      <c r="D47" s="540" t="s">
        <v>167</v>
      </c>
      <c r="E47" s="540" t="s">
        <v>100</v>
      </c>
      <c r="F47" s="548" t="s">
        <v>135</v>
      </c>
      <c r="G47" s="548" t="s">
        <v>112</v>
      </c>
      <c r="H47" s="540" t="s">
        <v>168</v>
      </c>
      <c r="I47" s="540" t="s">
        <v>169</v>
      </c>
      <c r="J47" s="539" t="s">
        <v>170</v>
      </c>
      <c r="K47" s="549" t="s">
        <v>171</v>
      </c>
      <c r="L47" s="550" t="s">
        <v>172</v>
      </c>
      <c r="M47" s="540" t="s">
        <v>128</v>
      </c>
      <c r="N47" s="540"/>
      <c r="O47" s="540"/>
      <c r="P47" s="568" t="s">
        <v>129</v>
      </c>
      <c r="Q47" s="242">
        <f t="shared" si="1"/>
        <v>1469800</v>
      </c>
      <c r="R47" s="243">
        <f t="shared" si="11"/>
        <v>141400</v>
      </c>
      <c r="S47" s="253">
        <f t="shared" si="12"/>
        <v>761400</v>
      </c>
      <c r="T47" s="253">
        <f t="shared" si="13"/>
        <v>567000</v>
      </c>
      <c r="U47" s="253">
        <f t="shared" si="14"/>
        <v>0</v>
      </c>
      <c r="V47" s="254">
        <f t="shared" si="15"/>
        <v>0</v>
      </c>
      <c r="W47" s="255">
        <f t="shared" si="10"/>
        <v>0</v>
      </c>
      <c r="X47" s="229"/>
      <c r="Y47" s="230"/>
      <c r="Z47" s="231">
        <v>141400</v>
      </c>
      <c r="AA47" s="232"/>
      <c r="AB47" s="230"/>
      <c r="AC47" s="230">
        <v>761400</v>
      </c>
      <c r="AD47" s="229"/>
      <c r="AE47" s="230"/>
      <c r="AF47" s="231">
        <v>567000</v>
      </c>
      <c r="AG47" s="229"/>
      <c r="AH47" s="230"/>
      <c r="AI47" s="231"/>
      <c r="AJ47" s="229"/>
      <c r="AK47" s="230"/>
      <c r="AL47" s="230"/>
      <c r="AM47" s="234"/>
      <c r="AN47" s="235"/>
      <c r="AO47" s="236"/>
      <c r="AP47" s="542" t="s">
        <v>173</v>
      </c>
      <c r="AQ47" s="543" t="s">
        <v>174</v>
      </c>
      <c r="AR47" s="544"/>
      <c r="AS47" s="546"/>
      <c r="AT47" s="546"/>
    </row>
    <row r="48" spans="1:46" s="208" customFormat="1" ht="15.75" x14ac:dyDescent="0.25">
      <c r="A48" s="538" t="s">
        <v>96</v>
      </c>
      <c r="B48" s="539"/>
      <c r="C48" s="539" t="s">
        <v>120</v>
      </c>
      <c r="D48" s="540" t="s">
        <v>121</v>
      </c>
      <c r="E48" s="540" t="s">
        <v>100</v>
      </c>
      <c r="F48" s="548" t="s">
        <v>135</v>
      </c>
      <c r="G48" s="548" t="s">
        <v>112</v>
      </c>
      <c r="H48" s="539" t="s">
        <v>168</v>
      </c>
      <c r="I48" s="540" t="s">
        <v>175</v>
      </c>
      <c r="J48" s="539" t="s">
        <v>176</v>
      </c>
      <c r="K48" s="540" t="s">
        <v>177</v>
      </c>
      <c r="L48" s="541" t="s">
        <v>172</v>
      </c>
      <c r="M48" s="540" t="s">
        <v>128</v>
      </c>
      <c r="N48" s="540"/>
      <c r="O48" s="540"/>
      <c r="P48" s="568" t="s">
        <v>129</v>
      </c>
      <c r="Q48" s="242">
        <f t="shared" si="1"/>
        <v>550000</v>
      </c>
      <c r="R48" s="243">
        <f t="shared" si="11"/>
        <v>25000</v>
      </c>
      <c r="S48" s="253">
        <f t="shared" si="12"/>
        <v>275000</v>
      </c>
      <c r="T48" s="253">
        <f t="shared" si="13"/>
        <v>250000</v>
      </c>
      <c r="U48" s="253">
        <f t="shared" si="14"/>
        <v>0</v>
      </c>
      <c r="V48" s="254">
        <f t="shared" si="15"/>
        <v>0</v>
      </c>
      <c r="W48" s="255">
        <f t="shared" si="10"/>
        <v>0</v>
      </c>
      <c r="X48" s="229"/>
      <c r="Y48" s="230"/>
      <c r="Z48" s="231">
        <v>25000</v>
      </c>
      <c r="AA48" s="232"/>
      <c r="AB48" s="230"/>
      <c r="AC48" s="230">
        <v>275000</v>
      </c>
      <c r="AD48" s="229"/>
      <c r="AE48" s="230"/>
      <c r="AF48" s="231">
        <v>250000</v>
      </c>
      <c r="AG48" s="229"/>
      <c r="AH48" s="230"/>
      <c r="AI48" s="231"/>
      <c r="AJ48" s="229"/>
      <c r="AK48" s="230"/>
      <c r="AL48" s="230"/>
      <c r="AM48" s="234"/>
      <c r="AN48" s="235"/>
      <c r="AO48" s="236"/>
      <c r="AP48" s="542" t="s">
        <v>173</v>
      </c>
      <c r="AQ48" s="543" t="s">
        <v>174</v>
      </c>
      <c r="AR48" s="544"/>
      <c r="AS48" s="546"/>
      <c r="AT48" s="546"/>
    </row>
    <row r="49" spans="1:46" s="161" customFormat="1" ht="15.75" x14ac:dyDescent="0.25">
      <c r="A49" s="538" t="s">
        <v>96</v>
      </c>
      <c r="B49" s="539"/>
      <c r="C49" s="539" t="s">
        <v>178</v>
      </c>
      <c r="D49" s="540" t="s">
        <v>179</v>
      </c>
      <c r="E49" s="540" t="s">
        <v>100</v>
      </c>
      <c r="F49" s="548" t="s">
        <v>180</v>
      </c>
      <c r="G49" s="548" t="s">
        <v>143</v>
      </c>
      <c r="H49" s="539" t="s">
        <v>168</v>
      </c>
      <c r="I49" s="540" t="s">
        <v>181</v>
      </c>
      <c r="J49" s="539" t="s">
        <v>182</v>
      </c>
      <c r="K49" s="540" t="s">
        <v>183</v>
      </c>
      <c r="L49" s="541"/>
      <c r="M49" s="540" t="s">
        <v>117</v>
      </c>
      <c r="N49" s="540"/>
      <c r="O49" s="540"/>
      <c r="P49" s="540" t="s">
        <v>118</v>
      </c>
      <c r="Q49" s="242">
        <f t="shared" si="1"/>
        <v>0</v>
      </c>
      <c r="R49" s="243">
        <f t="shared" si="11"/>
        <v>0</v>
      </c>
      <c r="S49" s="253">
        <f t="shared" si="12"/>
        <v>0</v>
      </c>
      <c r="T49" s="253">
        <f t="shared" si="13"/>
        <v>0</v>
      </c>
      <c r="U49" s="253">
        <f t="shared" si="14"/>
        <v>0</v>
      </c>
      <c r="V49" s="254">
        <f t="shared" si="15"/>
        <v>0</v>
      </c>
      <c r="W49" s="255">
        <f t="shared" si="10"/>
        <v>0</v>
      </c>
      <c r="X49" s="229"/>
      <c r="Y49" s="230"/>
      <c r="Z49" s="231"/>
      <c r="AA49" s="232"/>
      <c r="AB49" s="230"/>
      <c r="AC49" s="230"/>
      <c r="AD49" s="229"/>
      <c r="AE49" s="230"/>
      <c r="AF49" s="231"/>
      <c r="AG49" s="229"/>
      <c r="AH49" s="230"/>
      <c r="AI49" s="231"/>
      <c r="AJ49" s="229"/>
      <c r="AK49" s="230"/>
      <c r="AL49" s="230"/>
      <c r="AM49" s="234"/>
      <c r="AN49" s="235"/>
      <c r="AO49" s="236"/>
      <c r="AP49" s="542" t="s">
        <v>184</v>
      </c>
      <c r="AQ49" s="543" t="s">
        <v>174</v>
      </c>
      <c r="AR49" s="544"/>
      <c r="AS49" s="546"/>
      <c r="AT49" s="546"/>
    </row>
    <row r="50" spans="1:46" s="208" customFormat="1" ht="15.75" x14ac:dyDescent="0.25">
      <c r="A50" s="538" t="s">
        <v>96</v>
      </c>
      <c r="B50" s="539"/>
      <c r="C50" s="539" t="s">
        <v>185</v>
      </c>
      <c r="D50" s="540" t="s">
        <v>96</v>
      </c>
      <c r="E50" s="540" t="s">
        <v>100</v>
      </c>
      <c r="F50" s="548"/>
      <c r="G50" s="548"/>
      <c r="H50" s="539"/>
      <c r="I50" s="540"/>
      <c r="J50" s="547"/>
      <c r="K50" s="540"/>
      <c r="L50" s="541"/>
      <c r="M50" s="540"/>
      <c r="N50" s="540"/>
      <c r="O50" s="540"/>
      <c r="P50" s="540"/>
      <c r="Q50" s="242">
        <f t="shared" si="1"/>
        <v>0</v>
      </c>
      <c r="R50" s="243">
        <f t="shared" si="11"/>
        <v>0</v>
      </c>
      <c r="S50" s="253">
        <f t="shared" si="12"/>
        <v>0</v>
      </c>
      <c r="T50" s="253">
        <f t="shared" si="13"/>
        <v>0</v>
      </c>
      <c r="U50" s="253">
        <f t="shared" si="14"/>
        <v>0</v>
      </c>
      <c r="V50" s="254">
        <f t="shared" si="15"/>
        <v>0</v>
      </c>
      <c r="W50" s="255">
        <f t="shared" si="10"/>
        <v>0</v>
      </c>
      <c r="X50" s="229"/>
      <c r="Y50" s="230"/>
      <c r="Z50" s="231"/>
      <c r="AA50" s="232"/>
      <c r="AB50" s="230"/>
      <c r="AC50" s="230"/>
      <c r="AD50" s="229"/>
      <c r="AE50" s="230"/>
      <c r="AF50" s="231"/>
      <c r="AG50" s="229"/>
      <c r="AH50" s="230"/>
      <c r="AI50" s="231"/>
      <c r="AJ50" s="229"/>
      <c r="AK50" s="230"/>
      <c r="AL50" s="230"/>
      <c r="AM50" s="234"/>
      <c r="AN50" s="235"/>
      <c r="AO50" s="236"/>
      <c r="AP50" s="542"/>
      <c r="AQ50" s="543"/>
      <c r="AR50" s="544"/>
      <c r="AS50" s="546"/>
      <c r="AT50" s="546"/>
    </row>
    <row r="51" spans="1:46" s="208" customFormat="1" ht="15.75" x14ac:dyDescent="0.25">
      <c r="A51" s="538" t="s">
        <v>96</v>
      </c>
      <c r="B51" s="539"/>
      <c r="C51" s="539" t="s">
        <v>120</v>
      </c>
      <c r="D51" s="540" t="s">
        <v>121</v>
      </c>
      <c r="E51" s="540" t="s">
        <v>100</v>
      </c>
      <c r="F51" s="548" t="s">
        <v>186</v>
      </c>
      <c r="G51" s="548" t="s">
        <v>102</v>
      </c>
      <c r="H51" s="539" t="s">
        <v>123</v>
      </c>
      <c r="I51" s="540" t="s">
        <v>187</v>
      </c>
      <c r="J51" s="539" t="s">
        <v>188</v>
      </c>
      <c r="K51" s="540" t="s">
        <v>189</v>
      </c>
      <c r="L51" s="541" t="s">
        <v>140</v>
      </c>
      <c r="M51" s="540" t="s">
        <v>128</v>
      </c>
      <c r="N51" s="540"/>
      <c r="O51" s="540"/>
      <c r="P51" s="568" t="s">
        <v>129</v>
      </c>
      <c r="Q51" s="242">
        <f t="shared" si="1"/>
        <v>200000</v>
      </c>
      <c r="R51" s="243">
        <f t="shared" si="11"/>
        <v>0</v>
      </c>
      <c r="S51" s="253">
        <f t="shared" si="12"/>
        <v>200000</v>
      </c>
      <c r="T51" s="253">
        <f t="shared" si="13"/>
        <v>0</v>
      </c>
      <c r="U51" s="253">
        <f t="shared" si="14"/>
        <v>0</v>
      </c>
      <c r="V51" s="254">
        <f t="shared" si="15"/>
        <v>0</v>
      </c>
      <c r="W51" s="255">
        <f t="shared" si="10"/>
        <v>0</v>
      </c>
      <c r="X51" s="229"/>
      <c r="Y51" s="230"/>
      <c r="Z51" s="231"/>
      <c r="AA51" s="232">
        <v>200000</v>
      </c>
      <c r="AB51" s="230"/>
      <c r="AC51" s="230"/>
      <c r="AD51" s="229"/>
      <c r="AE51" s="230"/>
      <c r="AF51" s="231"/>
      <c r="AG51" s="229"/>
      <c r="AH51" s="230"/>
      <c r="AI51" s="231"/>
      <c r="AJ51" s="229"/>
      <c r="AK51" s="230"/>
      <c r="AL51" s="230"/>
      <c r="AM51" s="234"/>
      <c r="AN51" s="235"/>
      <c r="AO51" s="236"/>
      <c r="AP51" s="542" t="s">
        <v>159</v>
      </c>
      <c r="AQ51" s="543" t="s">
        <v>131</v>
      </c>
      <c r="AR51" s="544"/>
      <c r="AS51" s="546"/>
      <c r="AT51" s="546"/>
    </row>
    <row r="52" spans="1:46" s="208" customFormat="1" ht="15.75" x14ac:dyDescent="0.25">
      <c r="A52" s="538" t="s">
        <v>96</v>
      </c>
      <c r="B52" s="539" t="s">
        <v>121</v>
      </c>
      <c r="C52" s="539" t="s">
        <v>120</v>
      </c>
      <c r="D52" s="540" t="s">
        <v>121</v>
      </c>
      <c r="E52" s="540" t="s">
        <v>100</v>
      </c>
      <c r="F52" s="548" t="s">
        <v>186</v>
      </c>
      <c r="G52" s="548" t="s">
        <v>143</v>
      </c>
      <c r="H52" s="539" t="s">
        <v>123</v>
      </c>
      <c r="I52" s="540" t="s">
        <v>187</v>
      </c>
      <c r="J52" s="539" t="s">
        <v>190</v>
      </c>
      <c r="K52" s="540" t="s">
        <v>189</v>
      </c>
      <c r="L52" s="541"/>
      <c r="M52" s="540" t="s">
        <v>117</v>
      </c>
      <c r="N52" s="540"/>
      <c r="O52" s="540"/>
      <c r="P52" s="540" t="s">
        <v>118</v>
      </c>
      <c r="Q52" s="242">
        <f t="shared" si="1"/>
        <v>315000</v>
      </c>
      <c r="R52" s="243">
        <f t="shared" si="11"/>
        <v>0</v>
      </c>
      <c r="S52" s="253">
        <f t="shared" si="12"/>
        <v>0</v>
      </c>
      <c r="T52" s="253">
        <f t="shared" si="13"/>
        <v>105000</v>
      </c>
      <c r="U52" s="253">
        <f t="shared" si="14"/>
        <v>105000</v>
      </c>
      <c r="V52" s="254">
        <f t="shared" si="15"/>
        <v>105000</v>
      </c>
      <c r="W52" s="255">
        <f t="shared" si="10"/>
        <v>0</v>
      </c>
      <c r="X52" s="229"/>
      <c r="Y52" s="230"/>
      <c r="Z52" s="231"/>
      <c r="AA52" s="232"/>
      <c r="AB52" s="230"/>
      <c r="AC52" s="230"/>
      <c r="AD52" s="229"/>
      <c r="AE52" s="230">
        <v>45000</v>
      </c>
      <c r="AF52" s="231">
        <v>60000</v>
      </c>
      <c r="AG52" s="229"/>
      <c r="AH52" s="230">
        <v>45000</v>
      </c>
      <c r="AI52" s="231">
        <v>60000</v>
      </c>
      <c r="AJ52" s="229"/>
      <c r="AK52" s="230">
        <v>45000</v>
      </c>
      <c r="AL52" s="230">
        <v>60000</v>
      </c>
      <c r="AM52" s="234"/>
      <c r="AN52" s="235"/>
      <c r="AO52" s="236"/>
      <c r="AP52" s="542" t="s">
        <v>159</v>
      </c>
      <c r="AQ52" s="543" t="s">
        <v>133</v>
      </c>
      <c r="AR52" s="544"/>
      <c r="AS52" s="546"/>
      <c r="AT52" s="546"/>
    </row>
    <row r="53" spans="1:46" s="161" customFormat="1" ht="15.75" x14ac:dyDescent="0.25">
      <c r="A53" s="538" t="s">
        <v>96</v>
      </c>
      <c r="B53" s="539" t="s">
        <v>96</v>
      </c>
      <c r="C53" s="539" t="s">
        <v>120</v>
      </c>
      <c r="D53" s="540" t="s">
        <v>121</v>
      </c>
      <c r="E53" s="540" t="s">
        <v>100</v>
      </c>
      <c r="F53" s="548" t="s">
        <v>135</v>
      </c>
      <c r="G53" s="548" t="s">
        <v>102</v>
      </c>
      <c r="H53" s="539" t="s">
        <v>123</v>
      </c>
      <c r="I53" s="540" t="s">
        <v>191</v>
      </c>
      <c r="J53" s="539" t="s">
        <v>192</v>
      </c>
      <c r="K53" s="540" t="s">
        <v>193</v>
      </c>
      <c r="L53" s="541"/>
      <c r="M53" s="540" t="s">
        <v>117</v>
      </c>
      <c r="N53" s="540"/>
      <c r="O53" s="540"/>
      <c r="P53" s="540" t="s">
        <v>118</v>
      </c>
      <c r="Q53" s="242">
        <f t="shared" si="1"/>
        <v>100000</v>
      </c>
      <c r="R53" s="243">
        <f t="shared" si="11"/>
        <v>100000</v>
      </c>
      <c r="S53" s="253">
        <f t="shared" si="12"/>
        <v>0</v>
      </c>
      <c r="T53" s="253">
        <f t="shared" si="13"/>
        <v>0</v>
      </c>
      <c r="U53" s="253">
        <f t="shared" si="14"/>
        <v>0</v>
      </c>
      <c r="V53" s="254">
        <f t="shared" si="15"/>
        <v>0</v>
      </c>
      <c r="W53" s="255">
        <f t="shared" si="10"/>
        <v>0</v>
      </c>
      <c r="X53" s="229"/>
      <c r="Y53" s="230">
        <v>100000</v>
      </c>
      <c r="Z53" s="231"/>
      <c r="AA53" s="232"/>
      <c r="AB53" s="230"/>
      <c r="AC53" s="230"/>
      <c r="AD53" s="229"/>
      <c r="AE53" s="230"/>
      <c r="AF53" s="231"/>
      <c r="AG53" s="229"/>
      <c r="AH53" s="230"/>
      <c r="AI53" s="231"/>
      <c r="AJ53" s="229"/>
      <c r="AK53" s="230"/>
      <c r="AL53" s="230"/>
      <c r="AM53" s="234"/>
      <c r="AN53" s="235"/>
      <c r="AO53" s="236"/>
      <c r="AP53" s="542" t="s">
        <v>194</v>
      </c>
      <c r="AQ53" s="543" t="s">
        <v>174</v>
      </c>
      <c r="AR53" s="544"/>
      <c r="AS53" s="546"/>
      <c r="AT53" s="546"/>
    </row>
    <row r="54" spans="1:46" s="208" customFormat="1" ht="15.75" x14ac:dyDescent="0.25">
      <c r="A54" s="538" t="s">
        <v>96</v>
      </c>
      <c r="B54" s="539" t="s">
        <v>96</v>
      </c>
      <c r="C54" s="539" t="s">
        <v>195</v>
      </c>
      <c r="D54" s="540" t="s">
        <v>195</v>
      </c>
      <c r="E54" s="540" t="s">
        <v>100</v>
      </c>
      <c r="F54" s="548" t="s">
        <v>196</v>
      </c>
      <c r="G54" s="548" t="s">
        <v>102</v>
      </c>
      <c r="H54" s="539" t="s">
        <v>197</v>
      </c>
      <c r="I54" s="540" t="s">
        <v>198</v>
      </c>
      <c r="J54" s="539" t="s">
        <v>199</v>
      </c>
      <c r="K54" s="540" t="s">
        <v>200</v>
      </c>
      <c r="L54" s="541"/>
      <c r="M54" s="540" t="s">
        <v>117</v>
      </c>
      <c r="N54" s="540"/>
      <c r="O54" s="540"/>
      <c r="P54" s="540" t="s">
        <v>118</v>
      </c>
      <c r="Q54" s="242">
        <f t="shared" si="1"/>
        <v>156000</v>
      </c>
      <c r="R54" s="243">
        <f t="shared" si="11"/>
        <v>156000</v>
      </c>
      <c r="S54" s="253">
        <f t="shared" si="12"/>
        <v>0</v>
      </c>
      <c r="T54" s="253">
        <f t="shared" si="13"/>
        <v>0</v>
      </c>
      <c r="U54" s="253">
        <f t="shared" si="14"/>
        <v>0</v>
      </c>
      <c r="V54" s="254">
        <f t="shared" si="15"/>
        <v>0</v>
      </c>
      <c r="W54" s="255">
        <f t="shared" si="10"/>
        <v>0</v>
      </c>
      <c r="X54" s="229"/>
      <c r="Y54" s="230"/>
      <c r="Z54" s="231">
        <v>156000</v>
      </c>
      <c r="AA54" s="232"/>
      <c r="AB54" s="230"/>
      <c r="AC54" s="230"/>
      <c r="AD54" s="229"/>
      <c r="AE54" s="230"/>
      <c r="AF54" s="231"/>
      <c r="AG54" s="229"/>
      <c r="AH54" s="230"/>
      <c r="AI54" s="231"/>
      <c r="AJ54" s="229"/>
      <c r="AK54" s="230"/>
      <c r="AL54" s="230"/>
      <c r="AM54" s="234"/>
      <c r="AN54" s="235"/>
      <c r="AO54" s="236"/>
      <c r="AP54" s="542" t="s">
        <v>201</v>
      </c>
      <c r="AQ54" s="543" t="s">
        <v>174</v>
      </c>
      <c r="AR54" s="544"/>
      <c r="AS54" s="546"/>
      <c r="AT54" s="546"/>
    </row>
    <row r="55" spans="1:46" s="208" customFormat="1" ht="15.75" x14ac:dyDescent="0.25">
      <c r="A55" s="538" t="s">
        <v>96</v>
      </c>
      <c r="B55" s="539" t="s">
        <v>96</v>
      </c>
      <c r="C55" s="539" t="s">
        <v>202</v>
      </c>
      <c r="D55" s="540" t="s">
        <v>109</v>
      </c>
      <c r="E55" s="540" t="s">
        <v>100</v>
      </c>
      <c r="F55" s="548" t="s">
        <v>203</v>
      </c>
      <c r="G55" s="548" t="s">
        <v>102</v>
      </c>
      <c r="H55" s="539" t="s">
        <v>204</v>
      </c>
      <c r="I55" s="540" t="s">
        <v>205</v>
      </c>
      <c r="J55" s="539" t="s">
        <v>206</v>
      </c>
      <c r="K55" s="540" t="s">
        <v>207</v>
      </c>
      <c r="L55" s="541"/>
      <c r="M55" s="540" t="s">
        <v>117</v>
      </c>
      <c r="N55" s="540"/>
      <c r="O55" s="540"/>
      <c r="P55" s="540" t="s">
        <v>118</v>
      </c>
      <c r="Q55" s="242">
        <f t="shared" si="1"/>
        <v>189000</v>
      </c>
      <c r="R55" s="243">
        <f t="shared" si="11"/>
        <v>63000</v>
      </c>
      <c r="S55" s="253">
        <f t="shared" si="12"/>
        <v>63000</v>
      </c>
      <c r="T55" s="253">
        <f t="shared" si="13"/>
        <v>63000</v>
      </c>
      <c r="U55" s="253">
        <f t="shared" si="14"/>
        <v>0</v>
      </c>
      <c r="V55" s="254">
        <f t="shared" si="15"/>
        <v>0</v>
      </c>
      <c r="W55" s="255">
        <f t="shared" si="10"/>
        <v>0</v>
      </c>
      <c r="X55" s="446"/>
      <c r="Y55" s="447"/>
      <c r="Z55" s="448">
        <v>63000</v>
      </c>
      <c r="AA55" s="449"/>
      <c r="AB55" s="447"/>
      <c r="AC55" s="447">
        <v>63000</v>
      </c>
      <c r="AD55" s="446"/>
      <c r="AE55" s="447"/>
      <c r="AF55" s="448">
        <v>63000</v>
      </c>
      <c r="AG55" s="446"/>
      <c r="AH55" s="447"/>
      <c r="AI55" s="448"/>
      <c r="AJ55" s="446"/>
      <c r="AK55" s="447"/>
      <c r="AL55" s="447"/>
      <c r="AM55" s="450"/>
      <c r="AN55" s="451"/>
      <c r="AO55" s="452"/>
      <c r="AP55" s="542" t="s">
        <v>208</v>
      </c>
      <c r="AQ55" s="543" t="s">
        <v>153</v>
      </c>
      <c r="AR55" s="544"/>
      <c r="AS55" s="546"/>
      <c r="AT55" s="546"/>
    </row>
    <row r="56" spans="1:46" s="161" customFormat="1" ht="15.75" x14ac:dyDescent="0.25">
      <c r="A56" s="538" t="s">
        <v>96</v>
      </c>
      <c r="B56" s="539" t="s">
        <v>96</v>
      </c>
      <c r="C56" s="539" t="s">
        <v>209</v>
      </c>
      <c r="D56" s="540" t="s">
        <v>209</v>
      </c>
      <c r="E56" s="540" t="s">
        <v>100</v>
      </c>
      <c r="F56" s="548" t="s">
        <v>196</v>
      </c>
      <c r="G56" s="548" t="s">
        <v>102</v>
      </c>
      <c r="H56" s="540" t="s">
        <v>210</v>
      </c>
      <c r="I56" s="540" t="s">
        <v>211</v>
      </c>
      <c r="J56" s="539" t="s">
        <v>212</v>
      </c>
      <c r="K56" s="540" t="s">
        <v>213</v>
      </c>
      <c r="L56" s="541"/>
      <c r="M56" s="540" t="s">
        <v>117</v>
      </c>
      <c r="N56" s="540"/>
      <c r="O56" s="540"/>
      <c r="P56" s="540" t="s">
        <v>118</v>
      </c>
      <c r="Q56" s="242">
        <f t="shared" si="1"/>
        <v>0</v>
      </c>
      <c r="R56" s="243">
        <f t="shared" si="11"/>
        <v>0</v>
      </c>
      <c r="S56" s="253">
        <f t="shared" si="12"/>
        <v>0</v>
      </c>
      <c r="T56" s="253">
        <f t="shared" si="13"/>
        <v>0</v>
      </c>
      <c r="U56" s="253">
        <f t="shared" si="14"/>
        <v>0</v>
      </c>
      <c r="V56" s="254">
        <f t="shared" si="15"/>
        <v>0</v>
      </c>
      <c r="W56" s="255">
        <f t="shared" si="10"/>
        <v>0</v>
      </c>
      <c r="X56" s="446"/>
      <c r="Y56" s="447"/>
      <c r="Z56" s="448">
        <v>0</v>
      </c>
      <c r="AA56" s="449"/>
      <c r="AB56" s="447"/>
      <c r="AC56" s="447"/>
      <c r="AD56" s="446"/>
      <c r="AE56" s="447"/>
      <c r="AF56" s="448"/>
      <c r="AG56" s="446"/>
      <c r="AH56" s="447"/>
      <c r="AI56" s="448"/>
      <c r="AJ56" s="446"/>
      <c r="AK56" s="447"/>
      <c r="AL56" s="447"/>
      <c r="AM56" s="450"/>
      <c r="AN56" s="451"/>
      <c r="AO56" s="452"/>
      <c r="AP56" s="542" t="s">
        <v>214</v>
      </c>
      <c r="AQ56" s="543" t="s">
        <v>174</v>
      </c>
      <c r="AR56" s="544"/>
      <c r="AS56" s="546"/>
      <c r="AT56" s="546"/>
    </row>
    <row r="57" spans="1:46" s="208" customFormat="1" ht="15.75" x14ac:dyDescent="0.25">
      <c r="A57" s="538" t="s">
        <v>96</v>
      </c>
      <c r="B57" s="539" t="s">
        <v>96</v>
      </c>
      <c r="C57" s="539" t="s">
        <v>195</v>
      </c>
      <c r="D57" s="540" t="s">
        <v>195</v>
      </c>
      <c r="E57" s="540" t="s">
        <v>100</v>
      </c>
      <c r="F57" s="548" t="s">
        <v>196</v>
      </c>
      <c r="G57" s="548" t="s">
        <v>102</v>
      </c>
      <c r="H57" s="540" t="s">
        <v>197</v>
      </c>
      <c r="I57" s="540" t="s">
        <v>215</v>
      </c>
      <c r="J57" s="547" t="s">
        <v>216</v>
      </c>
      <c r="K57" s="540" t="s">
        <v>217</v>
      </c>
      <c r="L57" s="541"/>
      <c r="M57" s="540" t="s">
        <v>117</v>
      </c>
      <c r="N57" s="540"/>
      <c r="O57" s="540"/>
      <c r="P57" s="540" t="s">
        <v>118</v>
      </c>
      <c r="Q57" s="242">
        <f t="shared" si="1"/>
        <v>200000</v>
      </c>
      <c r="R57" s="243">
        <f t="shared" si="11"/>
        <v>0</v>
      </c>
      <c r="S57" s="253">
        <f t="shared" si="12"/>
        <v>200000</v>
      </c>
      <c r="T57" s="253">
        <f t="shared" si="13"/>
        <v>0</v>
      </c>
      <c r="U57" s="253">
        <f t="shared" si="14"/>
        <v>0</v>
      </c>
      <c r="V57" s="254">
        <f t="shared" si="15"/>
        <v>0</v>
      </c>
      <c r="W57" s="255">
        <f t="shared" si="10"/>
        <v>0</v>
      </c>
      <c r="X57" s="446"/>
      <c r="Y57" s="447"/>
      <c r="Z57" s="448"/>
      <c r="AA57" s="449">
        <v>200000</v>
      </c>
      <c r="AB57" s="447"/>
      <c r="AC57" s="447"/>
      <c r="AD57" s="446"/>
      <c r="AE57" s="447"/>
      <c r="AF57" s="448"/>
      <c r="AG57" s="446"/>
      <c r="AH57" s="447"/>
      <c r="AI57" s="448"/>
      <c r="AJ57" s="446"/>
      <c r="AK57" s="447"/>
      <c r="AL57" s="447"/>
      <c r="AM57" s="450"/>
      <c r="AN57" s="451"/>
      <c r="AO57" s="452"/>
      <c r="AP57" s="542"/>
      <c r="AQ57" s="543" t="s">
        <v>133</v>
      </c>
      <c r="AR57" s="544"/>
      <c r="AS57" s="546"/>
      <c r="AT57" s="546"/>
    </row>
    <row r="58" spans="1:46" s="161" customFormat="1" ht="15.75" x14ac:dyDescent="0.25">
      <c r="A58" s="538" t="s">
        <v>96</v>
      </c>
      <c r="B58" s="539"/>
      <c r="C58" s="539" t="s">
        <v>109</v>
      </c>
      <c r="D58" s="540" t="s">
        <v>96</v>
      </c>
      <c r="E58" s="540" t="s">
        <v>100</v>
      </c>
      <c r="F58" s="548" t="s">
        <v>135</v>
      </c>
      <c r="G58" s="548" t="s">
        <v>102</v>
      </c>
      <c r="H58" s="540" t="s">
        <v>113</v>
      </c>
      <c r="I58" s="540" t="s">
        <v>218</v>
      </c>
      <c r="J58" s="539" t="s">
        <v>219</v>
      </c>
      <c r="K58" s="540" t="s">
        <v>220</v>
      </c>
      <c r="L58" s="541" t="s">
        <v>140</v>
      </c>
      <c r="M58" s="540" t="s">
        <v>128</v>
      </c>
      <c r="N58" s="540"/>
      <c r="O58" s="540"/>
      <c r="P58" s="568" t="s">
        <v>129</v>
      </c>
      <c r="Q58" s="242">
        <f t="shared" si="1"/>
        <v>278495.34999999998</v>
      </c>
      <c r="R58" s="243">
        <f t="shared" si="11"/>
        <v>28000</v>
      </c>
      <c r="S58" s="253">
        <f t="shared" si="12"/>
        <v>58800</v>
      </c>
      <c r="T58" s="253">
        <f t="shared" si="13"/>
        <v>58800</v>
      </c>
      <c r="U58" s="253">
        <f t="shared" si="14"/>
        <v>64827</v>
      </c>
      <c r="V58" s="254">
        <f t="shared" si="15"/>
        <v>68068.350000000006</v>
      </c>
      <c r="W58" s="255">
        <f t="shared" si="10"/>
        <v>0</v>
      </c>
      <c r="X58" s="446"/>
      <c r="Y58" s="447">
        <v>28000</v>
      </c>
      <c r="Z58" s="448"/>
      <c r="AA58" s="449"/>
      <c r="AB58" s="447">
        <v>58800</v>
      </c>
      <c r="AC58" s="447"/>
      <c r="AD58" s="446"/>
      <c r="AE58" s="569">
        <v>58800</v>
      </c>
      <c r="AF58" s="448"/>
      <c r="AG58" s="446"/>
      <c r="AH58" s="447">
        <v>64827</v>
      </c>
      <c r="AI58" s="448"/>
      <c r="AJ58" s="446"/>
      <c r="AK58" s="447">
        <v>68068.350000000006</v>
      </c>
      <c r="AL58" s="447"/>
      <c r="AM58" s="450"/>
      <c r="AN58" s="451"/>
      <c r="AO58" s="452"/>
      <c r="AP58" s="542" t="s">
        <v>221</v>
      </c>
      <c r="AQ58" s="543" t="s">
        <v>133</v>
      </c>
      <c r="AR58" s="544"/>
      <c r="AS58" s="546"/>
      <c r="AT58" s="546"/>
    </row>
    <row r="59" spans="1:46" s="208" customFormat="1" ht="15.75" x14ac:dyDescent="0.25">
      <c r="A59" s="538" t="s">
        <v>96</v>
      </c>
      <c r="B59" s="539"/>
      <c r="C59" s="539" t="s">
        <v>120</v>
      </c>
      <c r="D59" s="540" t="s">
        <v>121</v>
      </c>
      <c r="E59" s="540" t="s">
        <v>100</v>
      </c>
      <c r="F59" s="548" t="s">
        <v>135</v>
      </c>
      <c r="G59" s="548" t="s">
        <v>102</v>
      </c>
      <c r="H59" s="540" t="s">
        <v>113</v>
      </c>
      <c r="I59" s="540" t="s">
        <v>222</v>
      </c>
      <c r="J59" s="547" t="s">
        <v>223</v>
      </c>
      <c r="K59" s="540" t="s">
        <v>224</v>
      </c>
      <c r="L59" s="541" t="s">
        <v>140</v>
      </c>
      <c r="M59" s="540" t="s">
        <v>128</v>
      </c>
      <c r="N59" s="540"/>
      <c r="O59" s="540"/>
      <c r="P59" s="568" t="s">
        <v>129</v>
      </c>
      <c r="Q59" s="242">
        <f t="shared" si="1"/>
        <v>601749.35</v>
      </c>
      <c r="R59" s="243">
        <f t="shared" si="11"/>
        <v>60500</v>
      </c>
      <c r="S59" s="253">
        <f t="shared" si="12"/>
        <v>127050</v>
      </c>
      <c r="T59" s="253">
        <f t="shared" si="13"/>
        <v>127050</v>
      </c>
      <c r="U59" s="253">
        <f t="shared" si="14"/>
        <v>140073</v>
      </c>
      <c r="V59" s="254">
        <f t="shared" si="15"/>
        <v>147076.35</v>
      </c>
      <c r="W59" s="255">
        <f t="shared" si="10"/>
        <v>0</v>
      </c>
      <c r="X59" s="446"/>
      <c r="Y59" s="447">
        <v>60500</v>
      </c>
      <c r="Z59" s="448"/>
      <c r="AA59" s="449"/>
      <c r="AB59" s="569">
        <v>127050</v>
      </c>
      <c r="AC59" s="447"/>
      <c r="AD59" s="446"/>
      <c r="AE59" s="569">
        <v>127050</v>
      </c>
      <c r="AF59" s="448"/>
      <c r="AG59" s="446"/>
      <c r="AH59" s="447">
        <v>140073</v>
      </c>
      <c r="AI59" s="448"/>
      <c r="AJ59" s="446"/>
      <c r="AK59" s="447">
        <v>147076.35</v>
      </c>
      <c r="AL59" s="447"/>
      <c r="AM59" s="450"/>
      <c r="AN59" s="451"/>
      <c r="AO59" s="452"/>
      <c r="AP59" s="542" t="s">
        <v>221</v>
      </c>
      <c r="AQ59" s="543" t="s">
        <v>133</v>
      </c>
      <c r="AR59" s="544"/>
      <c r="AS59" s="546"/>
      <c r="AT59" s="546"/>
    </row>
    <row r="60" spans="1:46" s="208" customFormat="1" ht="15.75" x14ac:dyDescent="0.25">
      <c r="A60" s="538" t="s">
        <v>96</v>
      </c>
      <c r="B60" s="539" t="s">
        <v>96</v>
      </c>
      <c r="C60" s="539" t="s">
        <v>110</v>
      </c>
      <c r="D60" s="540" t="s">
        <v>225</v>
      </c>
      <c r="E60" s="540" t="s">
        <v>100</v>
      </c>
      <c r="F60" s="551" t="s">
        <v>203</v>
      </c>
      <c r="G60" s="548" t="s">
        <v>143</v>
      </c>
      <c r="H60" s="540" t="s">
        <v>113</v>
      </c>
      <c r="I60" s="540" t="s">
        <v>226</v>
      </c>
      <c r="J60" s="539" t="s">
        <v>227</v>
      </c>
      <c r="K60" s="540" t="s">
        <v>228</v>
      </c>
      <c r="L60" s="541"/>
      <c r="M60" s="540" t="s">
        <v>117</v>
      </c>
      <c r="N60" s="540"/>
      <c r="O60" s="540"/>
      <c r="P60" s="540" t="s">
        <v>118</v>
      </c>
      <c r="Q60" s="242">
        <f t="shared" si="1"/>
        <v>300000</v>
      </c>
      <c r="R60" s="243">
        <f t="shared" si="11"/>
        <v>0</v>
      </c>
      <c r="S60" s="253">
        <f t="shared" si="12"/>
        <v>300000</v>
      </c>
      <c r="T60" s="253">
        <f t="shared" si="13"/>
        <v>0</v>
      </c>
      <c r="U60" s="253">
        <f t="shared" si="14"/>
        <v>0</v>
      </c>
      <c r="V60" s="254">
        <f t="shared" si="15"/>
        <v>0</v>
      </c>
      <c r="W60" s="255">
        <f t="shared" si="10"/>
        <v>0</v>
      </c>
      <c r="X60" s="446"/>
      <c r="Y60" s="447"/>
      <c r="Z60" s="448"/>
      <c r="AA60" s="449"/>
      <c r="AB60" s="447"/>
      <c r="AC60" s="447">
        <v>300000</v>
      </c>
      <c r="AD60" s="446"/>
      <c r="AE60" s="447"/>
      <c r="AF60" s="448"/>
      <c r="AG60" s="446"/>
      <c r="AH60" s="447"/>
      <c r="AI60" s="448"/>
      <c r="AJ60" s="446"/>
      <c r="AK60" s="447"/>
      <c r="AL60" s="447"/>
      <c r="AM60" s="450"/>
      <c r="AN60" s="451"/>
      <c r="AO60" s="452"/>
      <c r="AP60" s="542" t="s">
        <v>229</v>
      </c>
      <c r="AQ60" s="543" t="s">
        <v>230</v>
      </c>
      <c r="AR60" s="544"/>
      <c r="AS60" s="546"/>
      <c r="AT60" s="546"/>
    </row>
    <row r="61" spans="1:46" s="208" customFormat="1" ht="15.75" x14ac:dyDescent="0.25">
      <c r="A61" s="538" t="s">
        <v>96</v>
      </c>
      <c r="B61" s="539" t="s">
        <v>96</v>
      </c>
      <c r="C61" s="539" t="s">
        <v>110</v>
      </c>
      <c r="D61" s="540" t="s">
        <v>225</v>
      </c>
      <c r="E61" s="540" t="s">
        <v>100</v>
      </c>
      <c r="F61" s="548" t="s">
        <v>231</v>
      </c>
      <c r="G61" s="548" t="s">
        <v>112</v>
      </c>
      <c r="H61" s="540" t="s">
        <v>113</v>
      </c>
      <c r="I61" s="540" t="s">
        <v>232</v>
      </c>
      <c r="J61" s="547" t="s">
        <v>233</v>
      </c>
      <c r="K61" s="540" t="s">
        <v>234</v>
      </c>
      <c r="L61" s="541"/>
      <c r="M61" s="540" t="s">
        <v>117</v>
      </c>
      <c r="N61" s="540"/>
      <c r="O61" s="540"/>
      <c r="P61" s="540" t="s">
        <v>118</v>
      </c>
      <c r="Q61" s="242">
        <f t="shared" si="1"/>
        <v>0</v>
      </c>
      <c r="R61" s="243">
        <f t="shared" si="11"/>
        <v>0</v>
      </c>
      <c r="S61" s="253">
        <f t="shared" si="12"/>
        <v>0</v>
      </c>
      <c r="T61" s="253">
        <f t="shared" si="13"/>
        <v>0</v>
      </c>
      <c r="U61" s="253">
        <f t="shared" si="14"/>
        <v>0</v>
      </c>
      <c r="V61" s="254">
        <f t="shared" si="15"/>
        <v>0</v>
      </c>
      <c r="W61" s="255">
        <f t="shared" si="10"/>
        <v>0</v>
      </c>
      <c r="X61" s="446"/>
      <c r="Y61" s="447"/>
      <c r="Z61" s="448"/>
      <c r="AA61" s="449"/>
      <c r="AB61" s="447"/>
      <c r="AC61" s="447"/>
      <c r="AD61" s="446"/>
      <c r="AE61" s="447"/>
      <c r="AF61" s="448"/>
      <c r="AG61" s="446"/>
      <c r="AH61" s="447"/>
      <c r="AI61" s="448"/>
      <c r="AJ61" s="446"/>
      <c r="AK61" s="447"/>
      <c r="AL61" s="447"/>
      <c r="AM61" s="450"/>
      <c r="AN61" s="451"/>
      <c r="AO61" s="452"/>
      <c r="AP61" s="542" t="s">
        <v>229</v>
      </c>
      <c r="AQ61" s="543" t="s">
        <v>133</v>
      </c>
      <c r="AR61" s="544"/>
      <c r="AS61" s="546"/>
      <c r="AT61" s="546"/>
    </row>
    <row r="62" spans="1:46" s="208" customFormat="1" ht="15.75" x14ac:dyDescent="0.25">
      <c r="A62" s="538" t="s">
        <v>96</v>
      </c>
      <c r="B62" s="539"/>
      <c r="C62" s="539" t="s">
        <v>146</v>
      </c>
      <c r="D62" s="540" t="s">
        <v>147</v>
      </c>
      <c r="E62" s="540" t="s">
        <v>100</v>
      </c>
      <c r="F62" s="551" t="s">
        <v>135</v>
      </c>
      <c r="G62" s="548" t="s">
        <v>102</v>
      </c>
      <c r="H62" s="540" t="s">
        <v>148</v>
      </c>
      <c r="I62" s="540" t="s">
        <v>149</v>
      </c>
      <c r="J62" s="539" t="s">
        <v>235</v>
      </c>
      <c r="K62" s="540" t="s">
        <v>236</v>
      </c>
      <c r="L62" s="541" t="s">
        <v>237</v>
      </c>
      <c r="M62" s="540" t="s">
        <v>238</v>
      </c>
      <c r="N62" s="540"/>
      <c r="O62" s="540"/>
      <c r="P62" s="540" t="s">
        <v>129</v>
      </c>
      <c r="Q62" s="242">
        <f t="shared" si="1"/>
        <v>500000</v>
      </c>
      <c r="R62" s="243">
        <f t="shared" si="11"/>
        <v>0</v>
      </c>
      <c r="S62" s="253">
        <f t="shared" si="12"/>
        <v>0</v>
      </c>
      <c r="T62" s="253">
        <f t="shared" si="13"/>
        <v>0</v>
      </c>
      <c r="U62" s="253">
        <f t="shared" si="14"/>
        <v>500000</v>
      </c>
      <c r="V62" s="254">
        <f t="shared" si="15"/>
        <v>0</v>
      </c>
      <c r="W62" s="255">
        <f t="shared" si="10"/>
        <v>0</v>
      </c>
      <c r="X62" s="446"/>
      <c r="Y62" s="447"/>
      <c r="Z62" s="448"/>
      <c r="AA62" s="449"/>
      <c r="AB62" s="447"/>
      <c r="AC62" s="447"/>
      <c r="AD62" s="446"/>
      <c r="AE62" s="447"/>
      <c r="AF62" s="448"/>
      <c r="AG62" s="446">
        <v>500000</v>
      </c>
      <c r="AH62" s="447"/>
      <c r="AI62" s="448"/>
      <c r="AJ62" s="446"/>
      <c r="AK62" s="447"/>
      <c r="AL62" s="447"/>
      <c r="AM62" s="450"/>
      <c r="AN62" s="451"/>
      <c r="AO62" s="452"/>
      <c r="AP62" s="542" t="s">
        <v>239</v>
      </c>
      <c r="AQ62" s="543" t="s">
        <v>240</v>
      </c>
      <c r="AR62" s="544"/>
      <c r="AS62" s="546"/>
      <c r="AT62" s="546"/>
    </row>
    <row r="63" spans="1:46" s="208" customFormat="1" ht="15.75" x14ac:dyDescent="0.25">
      <c r="A63" s="538" t="s">
        <v>96</v>
      </c>
      <c r="B63" s="539"/>
      <c r="C63" s="539" t="s">
        <v>146</v>
      </c>
      <c r="D63" s="540" t="s">
        <v>147</v>
      </c>
      <c r="E63" s="540" t="s">
        <v>100</v>
      </c>
      <c r="F63" s="551" t="s">
        <v>135</v>
      </c>
      <c r="G63" s="551" t="s">
        <v>102</v>
      </c>
      <c r="H63" s="540" t="s">
        <v>148</v>
      </c>
      <c r="I63" s="540" t="s">
        <v>149</v>
      </c>
      <c r="J63" s="539" t="s">
        <v>241</v>
      </c>
      <c r="K63" s="540" t="s">
        <v>242</v>
      </c>
      <c r="L63" s="541" t="s">
        <v>237</v>
      </c>
      <c r="M63" s="540" t="s">
        <v>238</v>
      </c>
      <c r="N63" s="540"/>
      <c r="O63" s="540"/>
      <c r="P63" s="540" t="s">
        <v>129</v>
      </c>
      <c r="Q63" s="242">
        <f t="shared" si="1"/>
        <v>500000</v>
      </c>
      <c r="R63" s="243">
        <f t="shared" si="11"/>
        <v>0</v>
      </c>
      <c r="S63" s="253">
        <f t="shared" si="12"/>
        <v>0</v>
      </c>
      <c r="T63" s="253">
        <f t="shared" si="13"/>
        <v>0</v>
      </c>
      <c r="U63" s="253">
        <f t="shared" si="14"/>
        <v>0</v>
      </c>
      <c r="V63" s="254">
        <f t="shared" si="15"/>
        <v>0</v>
      </c>
      <c r="W63" s="255">
        <f>SUM(AM63:AO63)</f>
        <v>500000</v>
      </c>
      <c r="X63" s="446"/>
      <c r="Y63" s="447"/>
      <c r="Z63" s="448"/>
      <c r="AA63" s="449"/>
      <c r="AB63" s="447"/>
      <c r="AC63" s="447"/>
      <c r="AD63" s="446"/>
      <c r="AE63" s="447"/>
      <c r="AF63" s="448"/>
      <c r="AG63" s="446"/>
      <c r="AH63" s="447"/>
      <c r="AI63" s="448"/>
      <c r="AJ63" s="516"/>
      <c r="AK63" s="447"/>
      <c r="AL63" s="447"/>
      <c r="AM63" s="446">
        <v>500000</v>
      </c>
      <c r="AN63" s="451"/>
      <c r="AO63" s="452"/>
      <c r="AP63" s="542" t="s">
        <v>243</v>
      </c>
      <c r="AQ63" s="543" t="s">
        <v>240</v>
      </c>
      <c r="AR63" s="544"/>
      <c r="AS63" s="546"/>
      <c r="AT63" s="546"/>
    </row>
    <row r="64" spans="1:46" s="161" customFormat="1" ht="15.75" x14ac:dyDescent="0.25">
      <c r="A64" s="538" t="s">
        <v>96</v>
      </c>
      <c r="B64" s="539" t="s">
        <v>96</v>
      </c>
      <c r="C64" s="539" t="s">
        <v>110</v>
      </c>
      <c r="D64" s="540" t="s">
        <v>225</v>
      </c>
      <c r="E64" s="540" t="s">
        <v>244</v>
      </c>
      <c r="F64" s="551" t="s">
        <v>245</v>
      </c>
      <c r="G64" s="551" t="s">
        <v>246</v>
      </c>
      <c r="H64" s="540" t="s">
        <v>113</v>
      </c>
      <c r="I64" s="540" t="s">
        <v>247</v>
      </c>
      <c r="J64" s="540" t="s">
        <v>248</v>
      </c>
      <c r="K64" s="540" t="s">
        <v>249</v>
      </c>
      <c r="L64" s="541"/>
      <c r="M64" s="540" t="s">
        <v>117</v>
      </c>
      <c r="N64" s="540"/>
      <c r="O64" s="540"/>
      <c r="P64" s="540" t="s">
        <v>118</v>
      </c>
      <c r="Q64" s="242">
        <f t="shared" si="1"/>
        <v>0</v>
      </c>
      <c r="R64" s="243">
        <f t="shared" si="11"/>
        <v>0</v>
      </c>
      <c r="S64" s="253">
        <f t="shared" si="12"/>
        <v>0</v>
      </c>
      <c r="T64" s="253">
        <f t="shared" si="13"/>
        <v>0</v>
      </c>
      <c r="U64" s="253">
        <f t="shared" si="14"/>
        <v>0</v>
      </c>
      <c r="V64" s="254">
        <f t="shared" si="15"/>
        <v>0</v>
      </c>
      <c r="W64" s="255">
        <f t="shared" si="10"/>
        <v>0</v>
      </c>
      <c r="X64" s="446"/>
      <c r="Y64" s="447"/>
      <c r="Z64" s="448"/>
      <c r="AA64" s="449"/>
      <c r="AB64" s="447"/>
      <c r="AC64" s="447"/>
      <c r="AD64" s="446"/>
      <c r="AE64" s="447"/>
      <c r="AF64" s="448"/>
      <c r="AG64" s="446"/>
      <c r="AH64" s="447"/>
      <c r="AI64" s="448"/>
      <c r="AJ64" s="446"/>
      <c r="AK64" s="447"/>
      <c r="AL64" s="447"/>
      <c r="AM64" s="450"/>
      <c r="AN64" s="451"/>
      <c r="AO64" s="452"/>
      <c r="AP64" s="542" t="s">
        <v>229</v>
      </c>
      <c r="AQ64" s="543" t="s">
        <v>133</v>
      </c>
      <c r="AR64" s="544"/>
      <c r="AS64" s="546"/>
      <c r="AT64" s="546"/>
    </row>
    <row r="65" spans="1:46" s="161" customFormat="1" ht="15.75" x14ac:dyDescent="0.25">
      <c r="A65" s="538" t="s">
        <v>96</v>
      </c>
      <c r="B65" s="539" t="s">
        <v>96</v>
      </c>
      <c r="C65" s="539" t="s">
        <v>110</v>
      </c>
      <c r="D65" s="540" t="s">
        <v>225</v>
      </c>
      <c r="E65" s="540" t="s">
        <v>244</v>
      </c>
      <c r="F65" s="551" t="s">
        <v>203</v>
      </c>
      <c r="G65" s="551" t="s">
        <v>143</v>
      </c>
      <c r="H65" s="540" t="s">
        <v>113</v>
      </c>
      <c r="I65" s="540" t="s">
        <v>250</v>
      </c>
      <c r="J65" s="540" t="s">
        <v>251</v>
      </c>
      <c r="K65" s="540" t="s">
        <v>252</v>
      </c>
      <c r="L65" s="541"/>
      <c r="M65" s="540" t="s">
        <v>117</v>
      </c>
      <c r="N65" s="540"/>
      <c r="O65" s="540"/>
      <c r="P65" s="540" t="s">
        <v>118</v>
      </c>
      <c r="Q65" s="242">
        <f t="shared" si="1"/>
        <v>0</v>
      </c>
      <c r="R65" s="243">
        <f t="shared" si="11"/>
        <v>0</v>
      </c>
      <c r="S65" s="253">
        <f t="shared" si="12"/>
        <v>0</v>
      </c>
      <c r="T65" s="253">
        <f t="shared" si="13"/>
        <v>0</v>
      </c>
      <c r="U65" s="253">
        <f t="shared" si="14"/>
        <v>0</v>
      </c>
      <c r="V65" s="254">
        <f t="shared" si="15"/>
        <v>0</v>
      </c>
      <c r="W65" s="255">
        <f t="shared" si="10"/>
        <v>0</v>
      </c>
      <c r="X65" s="446"/>
      <c r="Y65" s="447"/>
      <c r="Z65" s="448"/>
      <c r="AA65" s="449"/>
      <c r="AB65" s="447"/>
      <c r="AC65" s="447"/>
      <c r="AD65" s="446"/>
      <c r="AE65" s="447"/>
      <c r="AF65" s="448"/>
      <c r="AG65" s="446"/>
      <c r="AH65" s="447"/>
      <c r="AI65" s="448"/>
      <c r="AJ65" s="446"/>
      <c r="AK65" s="447"/>
      <c r="AL65" s="447"/>
      <c r="AM65" s="450"/>
      <c r="AN65" s="451"/>
      <c r="AO65" s="452"/>
      <c r="AP65" s="542" t="s">
        <v>229</v>
      </c>
      <c r="AQ65" s="543" t="s">
        <v>133</v>
      </c>
      <c r="AR65" s="544"/>
      <c r="AS65" s="546"/>
      <c r="AT65" s="546"/>
    </row>
    <row r="66" spans="1:46" s="161" customFormat="1" ht="15.75" x14ac:dyDescent="0.25">
      <c r="A66" s="538" t="s">
        <v>96</v>
      </c>
      <c r="B66" s="539"/>
      <c r="C66" s="539" t="s">
        <v>110</v>
      </c>
      <c r="D66" s="540" t="s">
        <v>225</v>
      </c>
      <c r="E66" s="540" t="s">
        <v>244</v>
      </c>
      <c r="F66" s="548" t="s">
        <v>203</v>
      </c>
      <c r="G66" s="548" t="s">
        <v>143</v>
      </c>
      <c r="H66" s="540" t="s">
        <v>113</v>
      </c>
      <c r="I66" s="540" t="s">
        <v>253</v>
      </c>
      <c r="J66" s="539" t="s">
        <v>254</v>
      </c>
      <c r="K66" s="540" t="s">
        <v>255</v>
      </c>
      <c r="L66" s="541"/>
      <c r="M66" s="540" t="s">
        <v>117</v>
      </c>
      <c r="N66" s="540"/>
      <c r="O66" s="540"/>
      <c r="P66" s="540" t="s">
        <v>118</v>
      </c>
      <c r="Q66" s="242">
        <f t="shared" si="1"/>
        <v>0</v>
      </c>
      <c r="R66" s="243">
        <f t="shared" si="11"/>
        <v>0</v>
      </c>
      <c r="S66" s="253">
        <f t="shared" si="12"/>
        <v>0</v>
      </c>
      <c r="T66" s="253">
        <f t="shared" si="13"/>
        <v>0</v>
      </c>
      <c r="U66" s="253">
        <f t="shared" si="14"/>
        <v>0</v>
      </c>
      <c r="V66" s="254">
        <f t="shared" si="15"/>
        <v>0</v>
      </c>
      <c r="W66" s="255">
        <f t="shared" si="10"/>
        <v>0</v>
      </c>
      <c r="X66" s="446"/>
      <c r="Y66" s="447"/>
      <c r="Z66" s="448"/>
      <c r="AA66" s="449"/>
      <c r="AB66" s="447"/>
      <c r="AC66" s="447"/>
      <c r="AD66" s="446"/>
      <c r="AE66" s="447"/>
      <c r="AF66" s="448"/>
      <c r="AG66" s="446"/>
      <c r="AH66" s="447"/>
      <c r="AI66" s="448"/>
      <c r="AJ66" s="446"/>
      <c r="AK66" s="447"/>
      <c r="AL66" s="447"/>
      <c r="AM66" s="450"/>
      <c r="AN66" s="451"/>
      <c r="AO66" s="452"/>
      <c r="AP66" s="542" t="s">
        <v>229</v>
      </c>
      <c r="AQ66" s="543" t="s">
        <v>153</v>
      </c>
      <c r="AR66" s="552"/>
      <c r="AS66" s="546"/>
      <c r="AT66" s="546"/>
    </row>
    <row r="67" spans="1:46" s="161" customFormat="1" ht="15.75" x14ac:dyDescent="0.25">
      <c r="A67" s="538" t="s">
        <v>96</v>
      </c>
      <c r="B67" s="539" t="s">
        <v>96</v>
      </c>
      <c r="C67" s="539" t="s">
        <v>110</v>
      </c>
      <c r="D67" s="540" t="s">
        <v>225</v>
      </c>
      <c r="E67" s="540" t="s">
        <v>100</v>
      </c>
      <c r="F67" s="548" t="s">
        <v>203</v>
      </c>
      <c r="G67" s="548" t="s">
        <v>112</v>
      </c>
      <c r="H67" s="540" t="s">
        <v>113</v>
      </c>
      <c r="I67" s="540" t="s">
        <v>256</v>
      </c>
      <c r="J67" s="539" t="s">
        <v>257</v>
      </c>
      <c r="K67" s="540" t="s">
        <v>258</v>
      </c>
      <c r="L67" s="541"/>
      <c r="M67" s="540" t="s">
        <v>117</v>
      </c>
      <c r="N67" s="540"/>
      <c r="O67" s="540"/>
      <c r="P67" s="540" t="s">
        <v>118</v>
      </c>
      <c r="Q67" s="242">
        <f t="shared" si="1"/>
        <v>50000</v>
      </c>
      <c r="R67" s="243">
        <f t="shared" si="11"/>
        <v>0</v>
      </c>
      <c r="S67" s="253">
        <f t="shared" si="12"/>
        <v>50000</v>
      </c>
      <c r="T67" s="253">
        <f t="shared" si="13"/>
        <v>0</v>
      </c>
      <c r="U67" s="253">
        <f t="shared" si="14"/>
        <v>0</v>
      </c>
      <c r="V67" s="254">
        <f t="shared" si="15"/>
        <v>0</v>
      </c>
      <c r="W67" s="255">
        <f t="shared" si="10"/>
        <v>0</v>
      </c>
      <c r="X67" s="446"/>
      <c r="Y67" s="447"/>
      <c r="Z67" s="448"/>
      <c r="AA67" s="449"/>
      <c r="AB67" s="447"/>
      <c r="AC67" s="447">
        <v>50000</v>
      </c>
      <c r="AD67" s="446"/>
      <c r="AE67" s="447"/>
      <c r="AF67" s="448"/>
      <c r="AG67" s="446"/>
      <c r="AH67" s="447"/>
      <c r="AI67" s="448"/>
      <c r="AJ67" s="446"/>
      <c r="AK67" s="447"/>
      <c r="AL67" s="447"/>
      <c r="AM67" s="450"/>
      <c r="AN67" s="451"/>
      <c r="AO67" s="452"/>
      <c r="AP67" s="542"/>
      <c r="AQ67" s="543" t="s">
        <v>259</v>
      </c>
      <c r="AR67" s="552"/>
      <c r="AS67" s="546"/>
      <c r="AT67" s="546"/>
    </row>
    <row r="68" spans="1:46" s="161" customFormat="1" ht="15.75" x14ac:dyDescent="0.25">
      <c r="A68" s="538" t="s">
        <v>96</v>
      </c>
      <c r="B68" s="539"/>
      <c r="C68" s="539" t="s">
        <v>110</v>
      </c>
      <c r="D68" s="540" t="s">
        <v>225</v>
      </c>
      <c r="E68" s="540" t="s">
        <v>100</v>
      </c>
      <c r="F68" s="548" t="s">
        <v>245</v>
      </c>
      <c r="G68" s="548" t="s">
        <v>112</v>
      </c>
      <c r="H68" s="548" t="s">
        <v>113</v>
      </c>
      <c r="I68" s="548" t="s">
        <v>260</v>
      </c>
      <c r="J68" s="553" t="s">
        <v>261</v>
      </c>
      <c r="K68" s="548" t="s">
        <v>262</v>
      </c>
      <c r="L68" s="554"/>
      <c r="M68" s="548" t="s">
        <v>117</v>
      </c>
      <c r="N68" s="548"/>
      <c r="O68" s="548"/>
      <c r="P68" s="548" t="s">
        <v>118</v>
      </c>
      <c r="Q68" s="242">
        <f t="shared" si="1"/>
        <v>0</v>
      </c>
      <c r="R68" s="243">
        <f t="shared" si="11"/>
        <v>0</v>
      </c>
      <c r="S68" s="253">
        <f t="shared" si="12"/>
        <v>0</v>
      </c>
      <c r="T68" s="253">
        <f t="shared" si="13"/>
        <v>0</v>
      </c>
      <c r="U68" s="253">
        <f t="shared" si="14"/>
        <v>0</v>
      </c>
      <c r="V68" s="254">
        <f t="shared" si="15"/>
        <v>0</v>
      </c>
      <c r="W68" s="255">
        <f t="shared" si="10"/>
        <v>0</v>
      </c>
      <c r="X68" s="453"/>
      <c r="Y68" s="454"/>
      <c r="Z68" s="452"/>
      <c r="AA68" s="455"/>
      <c r="AB68" s="454"/>
      <c r="AC68" s="454"/>
      <c r="AD68" s="453"/>
      <c r="AE68" s="454"/>
      <c r="AF68" s="452"/>
      <c r="AG68" s="453"/>
      <c r="AH68" s="454"/>
      <c r="AI68" s="452"/>
      <c r="AJ68" s="453"/>
      <c r="AK68" s="454"/>
      <c r="AL68" s="454"/>
      <c r="AM68" s="450"/>
      <c r="AN68" s="451"/>
      <c r="AO68" s="452"/>
      <c r="AP68" s="555" t="s">
        <v>229</v>
      </c>
      <c r="AQ68" s="543" t="s">
        <v>230</v>
      </c>
      <c r="AR68" s="552"/>
      <c r="AS68" s="546"/>
      <c r="AT68" s="546"/>
    </row>
    <row r="69" spans="1:46" s="161" customFormat="1" ht="15.75" x14ac:dyDescent="0.25">
      <c r="A69" s="538" t="s">
        <v>96</v>
      </c>
      <c r="B69" s="539" t="s">
        <v>96</v>
      </c>
      <c r="C69" s="539" t="s">
        <v>110</v>
      </c>
      <c r="D69" s="540" t="s">
        <v>110</v>
      </c>
      <c r="E69" s="540" t="s">
        <v>100</v>
      </c>
      <c r="F69" s="548" t="s">
        <v>231</v>
      </c>
      <c r="G69" s="548" t="s">
        <v>112</v>
      </c>
      <c r="H69" s="548" t="s">
        <v>113</v>
      </c>
      <c r="I69" s="548" t="s">
        <v>263</v>
      </c>
      <c r="J69" s="553" t="s">
        <v>264</v>
      </c>
      <c r="K69" s="548" t="s">
        <v>265</v>
      </c>
      <c r="L69" s="554"/>
      <c r="M69" s="548" t="s">
        <v>117</v>
      </c>
      <c r="N69" s="548"/>
      <c r="O69" s="548"/>
      <c r="P69" s="548" t="s">
        <v>118</v>
      </c>
      <c r="Q69" s="242">
        <f t="shared" si="1"/>
        <v>0</v>
      </c>
      <c r="R69" s="243">
        <f t="shared" si="11"/>
        <v>0</v>
      </c>
      <c r="S69" s="253">
        <f t="shared" si="12"/>
        <v>0</v>
      </c>
      <c r="T69" s="253">
        <f t="shared" si="13"/>
        <v>0</v>
      </c>
      <c r="U69" s="253">
        <f t="shared" si="14"/>
        <v>0</v>
      </c>
      <c r="V69" s="254">
        <f t="shared" si="15"/>
        <v>0</v>
      </c>
      <c r="W69" s="255">
        <f t="shared" si="10"/>
        <v>0</v>
      </c>
      <c r="X69" s="453"/>
      <c r="Y69" s="454"/>
      <c r="Z69" s="452"/>
      <c r="AA69" s="455"/>
      <c r="AB69" s="454"/>
      <c r="AC69" s="454"/>
      <c r="AD69" s="453"/>
      <c r="AE69" s="454"/>
      <c r="AF69" s="452"/>
      <c r="AG69" s="453"/>
      <c r="AH69" s="454"/>
      <c r="AI69" s="452"/>
      <c r="AJ69" s="453"/>
      <c r="AK69" s="454"/>
      <c r="AL69" s="454"/>
      <c r="AM69" s="450"/>
      <c r="AN69" s="451"/>
      <c r="AO69" s="452"/>
      <c r="AP69" s="555" t="s">
        <v>229</v>
      </c>
      <c r="AQ69" s="543" t="s">
        <v>153</v>
      </c>
      <c r="AR69" s="552"/>
      <c r="AS69" s="546"/>
      <c r="AT69" s="546"/>
    </row>
    <row r="70" spans="1:46" s="208" customFormat="1" ht="15.75" x14ac:dyDescent="0.25">
      <c r="A70" s="538" t="s">
        <v>96</v>
      </c>
      <c r="B70" s="539" t="s">
        <v>96</v>
      </c>
      <c r="C70" s="539" t="s">
        <v>110</v>
      </c>
      <c r="D70" s="540" t="s">
        <v>110</v>
      </c>
      <c r="E70" s="540" t="s">
        <v>100</v>
      </c>
      <c r="F70" s="548" t="s">
        <v>231</v>
      </c>
      <c r="G70" s="548" t="s">
        <v>112</v>
      </c>
      <c r="H70" s="540" t="s">
        <v>113</v>
      </c>
      <c r="I70" s="540" t="s">
        <v>266</v>
      </c>
      <c r="J70" s="547" t="s">
        <v>267</v>
      </c>
      <c r="K70" s="540" t="s">
        <v>268</v>
      </c>
      <c r="L70" s="541"/>
      <c r="M70" s="540" t="s">
        <v>117</v>
      </c>
      <c r="N70" s="540"/>
      <c r="O70" s="540"/>
      <c r="P70" s="540" t="s">
        <v>118</v>
      </c>
      <c r="Q70" s="242">
        <f t="shared" si="1"/>
        <v>0</v>
      </c>
      <c r="R70" s="243">
        <f t="shared" si="11"/>
        <v>0</v>
      </c>
      <c r="S70" s="253">
        <f t="shared" si="12"/>
        <v>0</v>
      </c>
      <c r="T70" s="253">
        <f t="shared" si="13"/>
        <v>0</v>
      </c>
      <c r="U70" s="253">
        <f t="shared" si="14"/>
        <v>0</v>
      </c>
      <c r="V70" s="254">
        <f t="shared" si="15"/>
        <v>0</v>
      </c>
      <c r="W70" s="255">
        <f t="shared" si="10"/>
        <v>0</v>
      </c>
      <c r="X70" s="446"/>
      <c r="Y70" s="447"/>
      <c r="Z70" s="448"/>
      <c r="AA70" s="449"/>
      <c r="AB70" s="447"/>
      <c r="AC70" s="447"/>
      <c r="AD70" s="446"/>
      <c r="AE70" s="447"/>
      <c r="AF70" s="448"/>
      <c r="AG70" s="446"/>
      <c r="AH70" s="447"/>
      <c r="AI70" s="448"/>
      <c r="AJ70" s="446"/>
      <c r="AK70" s="447"/>
      <c r="AL70" s="447"/>
      <c r="AM70" s="450"/>
      <c r="AN70" s="451"/>
      <c r="AO70" s="452"/>
      <c r="AP70" s="542" t="s">
        <v>229</v>
      </c>
      <c r="AQ70" s="543" t="s">
        <v>153</v>
      </c>
      <c r="AR70" s="544"/>
      <c r="AS70" s="546"/>
      <c r="AT70" s="546"/>
    </row>
    <row r="71" spans="1:46" s="208" customFormat="1" ht="15.75" x14ac:dyDescent="0.25">
      <c r="A71" s="538" t="s">
        <v>96</v>
      </c>
      <c r="B71" s="539" t="s">
        <v>96</v>
      </c>
      <c r="C71" s="539" t="s">
        <v>110</v>
      </c>
      <c r="D71" s="540" t="s">
        <v>225</v>
      </c>
      <c r="E71" s="540" t="s">
        <v>100</v>
      </c>
      <c r="F71" s="551" t="s">
        <v>135</v>
      </c>
      <c r="G71" s="551" t="s">
        <v>10</v>
      </c>
      <c r="H71" s="540" t="s">
        <v>113</v>
      </c>
      <c r="I71" s="540" t="s">
        <v>269</v>
      </c>
      <c r="J71" s="540" t="s">
        <v>270</v>
      </c>
      <c r="K71" s="540" t="s">
        <v>271</v>
      </c>
      <c r="L71" s="541"/>
      <c r="M71" s="540" t="s">
        <v>117</v>
      </c>
      <c r="N71" s="540"/>
      <c r="O71" s="540"/>
      <c r="P71" s="540" t="s">
        <v>118</v>
      </c>
      <c r="Q71" s="242">
        <f t="shared" si="1"/>
        <v>0</v>
      </c>
      <c r="R71" s="243">
        <f t="shared" si="11"/>
        <v>0</v>
      </c>
      <c r="S71" s="253">
        <f t="shared" si="12"/>
        <v>0</v>
      </c>
      <c r="T71" s="253">
        <f t="shared" si="13"/>
        <v>0</v>
      </c>
      <c r="U71" s="253">
        <f t="shared" si="14"/>
        <v>0</v>
      </c>
      <c r="V71" s="254">
        <f t="shared" si="15"/>
        <v>0</v>
      </c>
      <c r="W71" s="255">
        <f t="shared" si="10"/>
        <v>0</v>
      </c>
      <c r="X71" s="446"/>
      <c r="Y71" s="447"/>
      <c r="Z71" s="448"/>
      <c r="AA71" s="449"/>
      <c r="AB71" s="447"/>
      <c r="AC71" s="447"/>
      <c r="AD71" s="446"/>
      <c r="AE71" s="447"/>
      <c r="AF71" s="448">
        <v>0</v>
      </c>
      <c r="AG71" s="446"/>
      <c r="AH71" s="447"/>
      <c r="AI71" s="448">
        <v>0</v>
      </c>
      <c r="AJ71" s="446"/>
      <c r="AK71" s="447"/>
      <c r="AL71" s="447">
        <v>0</v>
      </c>
      <c r="AM71" s="450"/>
      <c r="AN71" s="451"/>
      <c r="AO71" s="452"/>
      <c r="AP71" s="542"/>
      <c r="AQ71" s="543" t="s">
        <v>272</v>
      </c>
      <c r="AR71" s="544"/>
      <c r="AS71" s="546"/>
      <c r="AT71" s="546"/>
    </row>
    <row r="72" spans="1:46" s="161" customFormat="1" ht="15.75" x14ac:dyDescent="0.25">
      <c r="A72" s="538" t="s">
        <v>96</v>
      </c>
      <c r="B72" s="539"/>
      <c r="C72" s="539" t="s">
        <v>273</v>
      </c>
      <c r="D72" s="540" t="s">
        <v>273</v>
      </c>
      <c r="E72" s="548" t="s">
        <v>100</v>
      </c>
      <c r="F72" s="551" t="s">
        <v>203</v>
      </c>
      <c r="G72" s="551" t="s">
        <v>102</v>
      </c>
      <c r="H72" s="548" t="s">
        <v>274</v>
      </c>
      <c r="I72" s="553" t="s">
        <v>275</v>
      </c>
      <c r="J72" s="553" t="s">
        <v>276</v>
      </c>
      <c r="K72" s="553" t="s">
        <v>277</v>
      </c>
      <c r="L72" s="556" t="s">
        <v>237</v>
      </c>
      <c r="M72" s="548">
        <v>5</v>
      </c>
      <c r="N72" s="548"/>
      <c r="O72" s="548"/>
      <c r="P72" s="540" t="s">
        <v>129</v>
      </c>
      <c r="Q72" s="242">
        <f t="shared" si="1"/>
        <v>0</v>
      </c>
      <c r="R72" s="243">
        <f t="shared" si="11"/>
        <v>0</v>
      </c>
      <c r="S72" s="253">
        <f t="shared" si="12"/>
        <v>0</v>
      </c>
      <c r="T72" s="253">
        <f t="shared" si="13"/>
        <v>0</v>
      </c>
      <c r="U72" s="253">
        <f t="shared" si="14"/>
        <v>0</v>
      </c>
      <c r="V72" s="254">
        <f t="shared" si="15"/>
        <v>0</v>
      </c>
      <c r="W72" s="255">
        <f t="shared" si="10"/>
        <v>0</v>
      </c>
      <c r="X72" s="453"/>
      <c r="Y72" s="454"/>
      <c r="Z72" s="452"/>
      <c r="AA72" s="570">
        <v>0</v>
      </c>
      <c r="AB72" s="454"/>
      <c r="AC72" s="452"/>
      <c r="AD72" s="455"/>
      <c r="AE72" s="454"/>
      <c r="AF72" s="452">
        <v>0</v>
      </c>
      <c r="AG72" s="455"/>
      <c r="AH72" s="454"/>
      <c r="AI72" s="452">
        <v>0</v>
      </c>
      <c r="AJ72" s="455"/>
      <c r="AK72" s="454"/>
      <c r="AL72" s="454">
        <v>0</v>
      </c>
      <c r="AM72" s="450"/>
      <c r="AN72" s="451"/>
      <c r="AO72" s="452"/>
      <c r="AP72" s="555" t="s">
        <v>278</v>
      </c>
      <c r="AQ72" s="543" t="s">
        <v>240</v>
      </c>
      <c r="AR72" s="552" t="s">
        <v>279</v>
      </c>
      <c r="AS72" s="546"/>
      <c r="AT72" s="546"/>
    </row>
    <row r="73" spans="1:46" s="161" customFormat="1" ht="15.75" x14ac:dyDescent="0.25">
      <c r="A73" s="538"/>
      <c r="B73" s="539"/>
      <c r="C73" s="539"/>
      <c r="D73" s="540"/>
      <c r="E73" s="548"/>
      <c r="F73" s="551"/>
      <c r="G73" s="551"/>
      <c r="H73" s="548"/>
      <c r="I73" s="553"/>
      <c r="J73" s="553"/>
      <c r="K73" s="553"/>
      <c r="L73" s="556"/>
      <c r="M73" s="548"/>
      <c r="N73" s="548"/>
      <c r="O73" s="548"/>
      <c r="P73" s="540"/>
      <c r="Q73" s="242">
        <f t="shared" si="1"/>
        <v>0</v>
      </c>
      <c r="R73" s="243">
        <f t="shared" si="11"/>
        <v>0</v>
      </c>
      <c r="S73" s="253">
        <f t="shared" si="12"/>
        <v>0</v>
      </c>
      <c r="T73" s="253">
        <f t="shared" si="13"/>
        <v>0</v>
      </c>
      <c r="U73" s="253">
        <f t="shared" si="14"/>
        <v>0</v>
      </c>
      <c r="V73" s="254">
        <f t="shared" si="15"/>
        <v>0</v>
      </c>
      <c r="W73" s="255">
        <f t="shared" si="10"/>
        <v>0</v>
      </c>
      <c r="X73" s="453"/>
      <c r="Y73" s="454"/>
      <c r="Z73" s="452"/>
      <c r="AA73" s="455"/>
      <c r="AB73" s="454"/>
      <c r="AC73" s="452"/>
      <c r="AD73" s="455"/>
      <c r="AE73" s="454"/>
      <c r="AF73" s="452"/>
      <c r="AG73" s="455"/>
      <c r="AH73" s="454"/>
      <c r="AI73" s="452"/>
      <c r="AJ73" s="455"/>
      <c r="AK73" s="454"/>
      <c r="AL73" s="454"/>
      <c r="AM73" s="450"/>
      <c r="AN73" s="451"/>
      <c r="AO73" s="452"/>
      <c r="AP73" s="555"/>
      <c r="AQ73" s="543"/>
      <c r="AR73" s="552"/>
      <c r="AS73" s="546"/>
      <c r="AT73" s="546"/>
    </row>
    <row r="74" spans="1:46" s="161" customFormat="1" ht="15.75" x14ac:dyDescent="0.25">
      <c r="A74" s="538" t="s">
        <v>96</v>
      </c>
      <c r="B74" s="539"/>
      <c r="C74" s="539" t="s">
        <v>110</v>
      </c>
      <c r="D74" s="540" t="s">
        <v>110</v>
      </c>
      <c r="E74" s="548" t="s">
        <v>100</v>
      </c>
      <c r="F74" s="551" t="s">
        <v>135</v>
      </c>
      <c r="G74" s="551" t="s">
        <v>102</v>
      </c>
      <c r="H74" s="548" t="s">
        <v>113</v>
      </c>
      <c r="I74" s="553" t="s">
        <v>280</v>
      </c>
      <c r="J74" s="553" t="s">
        <v>219</v>
      </c>
      <c r="K74" s="553" t="s">
        <v>281</v>
      </c>
      <c r="L74" s="556" t="s">
        <v>140</v>
      </c>
      <c r="M74" s="548">
        <v>2</v>
      </c>
      <c r="N74" s="548"/>
      <c r="O74" s="548"/>
      <c r="P74" s="540" t="s">
        <v>129</v>
      </c>
      <c r="Q74" s="242">
        <f t="shared" si="1"/>
        <v>210000</v>
      </c>
      <c r="R74" s="243">
        <f t="shared" si="11"/>
        <v>0</v>
      </c>
      <c r="S74" s="253">
        <f t="shared" si="12"/>
        <v>0</v>
      </c>
      <c r="T74" s="253">
        <f t="shared" si="13"/>
        <v>65000</v>
      </c>
      <c r="U74" s="253">
        <f t="shared" si="14"/>
        <v>70000</v>
      </c>
      <c r="V74" s="254">
        <f t="shared" si="15"/>
        <v>75000</v>
      </c>
      <c r="W74" s="255">
        <f t="shared" si="10"/>
        <v>0</v>
      </c>
      <c r="X74" s="452"/>
      <c r="Y74" s="454"/>
      <c r="Z74" s="452"/>
      <c r="AA74" s="455"/>
      <c r="AB74" s="454"/>
      <c r="AC74" s="454"/>
      <c r="AD74" s="460"/>
      <c r="AE74" s="571">
        <v>65000</v>
      </c>
      <c r="AF74" s="462">
        <v>0</v>
      </c>
      <c r="AG74" s="460"/>
      <c r="AH74" s="461">
        <v>70000</v>
      </c>
      <c r="AI74" s="462">
        <v>0</v>
      </c>
      <c r="AJ74" s="460"/>
      <c r="AK74" s="461">
        <v>75000</v>
      </c>
      <c r="AL74" s="463">
        <v>0</v>
      </c>
      <c r="AM74" s="460"/>
      <c r="AN74" s="461"/>
      <c r="AO74" s="462"/>
      <c r="AP74" s="555" t="s">
        <v>221</v>
      </c>
      <c r="AQ74" s="543" t="s">
        <v>259</v>
      </c>
      <c r="AR74" s="552"/>
      <c r="AS74" s="546"/>
      <c r="AT74" s="546"/>
    </row>
    <row r="75" spans="1:46" s="161" customFormat="1" ht="15.75" x14ac:dyDescent="0.25">
      <c r="A75" s="538" t="s">
        <v>96</v>
      </c>
      <c r="B75" s="539"/>
      <c r="C75" s="539" t="s">
        <v>273</v>
      </c>
      <c r="D75" s="540" t="s">
        <v>273</v>
      </c>
      <c r="E75" s="548" t="s">
        <v>100</v>
      </c>
      <c r="F75" s="551" t="s">
        <v>203</v>
      </c>
      <c r="G75" s="551" t="s">
        <v>102</v>
      </c>
      <c r="H75" s="548" t="s">
        <v>274</v>
      </c>
      <c r="I75" s="553" t="s">
        <v>282</v>
      </c>
      <c r="J75" s="553" t="s">
        <v>283</v>
      </c>
      <c r="K75" s="553" t="s">
        <v>284</v>
      </c>
      <c r="L75" s="556" t="s">
        <v>237</v>
      </c>
      <c r="M75" s="548">
        <v>3</v>
      </c>
      <c r="N75" s="548"/>
      <c r="O75" s="548"/>
      <c r="P75" s="540" t="s">
        <v>129</v>
      </c>
      <c r="Q75" s="242">
        <f t="shared" si="1"/>
        <v>0</v>
      </c>
      <c r="R75" s="243">
        <f t="shared" si="11"/>
        <v>0</v>
      </c>
      <c r="S75" s="253">
        <f t="shared" si="12"/>
        <v>0</v>
      </c>
      <c r="T75" s="253">
        <f t="shared" si="13"/>
        <v>0</v>
      </c>
      <c r="U75" s="253">
        <f t="shared" si="14"/>
        <v>0</v>
      </c>
      <c r="V75" s="254">
        <f t="shared" si="15"/>
        <v>0</v>
      </c>
      <c r="W75" s="255">
        <f t="shared" si="10"/>
        <v>0</v>
      </c>
      <c r="X75" s="453"/>
      <c r="Y75" s="454"/>
      <c r="Z75" s="452"/>
      <c r="AA75" s="455"/>
      <c r="AB75" s="454"/>
      <c r="AC75" s="452"/>
      <c r="AD75" s="570">
        <v>0</v>
      </c>
      <c r="AE75" s="454"/>
      <c r="AF75" s="452"/>
      <c r="AG75" s="455"/>
      <c r="AH75" s="454"/>
      <c r="AI75" s="452"/>
      <c r="AJ75" s="455"/>
      <c r="AK75" s="454"/>
      <c r="AL75" s="454"/>
      <c r="AM75" s="450"/>
      <c r="AN75" s="451"/>
      <c r="AO75" s="452"/>
      <c r="AP75" s="555" t="s">
        <v>285</v>
      </c>
      <c r="AQ75" s="543" t="s">
        <v>240</v>
      </c>
      <c r="AR75" s="552" t="s">
        <v>279</v>
      </c>
      <c r="AS75" s="546"/>
      <c r="AT75" s="546"/>
    </row>
    <row r="76" spans="1:46" s="161" customFormat="1" ht="15.75" x14ac:dyDescent="0.25">
      <c r="A76" s="538"/>
      <c r="B76" s="539"/>
      <c r="C76" s="539"/>
      <c r="D76" s="540"/>
      <c r="E76" s="548"/>
      <c r="F76" s="551"/>
      <c r="G76" s="551"/>
      <c r="H76" s="548"/>
      <c r="I76" s="553"/>
      <c r="J76" s="553"/>
      <c r="K76" s="553"/>
      <c r="L76" s="556"/>
      <c r="M76" s="548"/>
      <c r="N76" s="548"/>
      <c r="O76" s="548"/>
      <c r="P76" s="540"/>
      <c r="Q76" s="242">
        <f t="shared" si="1"/>
        <v>0</v>
      </c>
      <c r="R76" s="243">
        <f t="shared" si="11"/>
        <v>0</v>
      </c>
      <c r="S76" s="253">
        <f t="shared" si="12"/>
        <v>0</v>
      </c>
      <c r="T76" s="253">
        <f t="shared" si="13"/>
        <v>0</v>
      </c>
      <c r="U76" s="253">
        <f t="shared" si="14"/>
        <v>0</v>
      </c>
      <c r="V76" s="254">
        <f t="shared" si="15"/>
        <v>0</v>
      </c>
      <c r="W76" s="255">
        <f t="shared" si="10"/>
        <v>0</v>
      </c>
      <c r="X76" s="453"/>
      <c r="Y76" s="454"/>
      <c r="Z76" s="452"/>
      <c r="AA76" s="455"/>
      <c r="AB76" s="454"/>
      <c r="AC76" s="452"/>
      <c r="AD76" s="455"/>
      <c r="AE76" s="454"/>
      <c r="AF76" s="452"/>
      <c r="AG76" s="455"/>
      <c r="AH76" s="454"/>
      <c r="AI76" s="452"/>
      <c r="AJ76" s="455"/>
      <c r="AK76" s="454"/>
      <c r="AL76" s="454"/>
      <c r="AM76" s="450"/>
      <c r="AN76" s="451"/>
      <c r="AO76" s="452"/>
      <c r="AP76" s="555"/>
      <c r="AQ76" s="543"/>
      <c r="AR76" s="552"/>
      <c r="AS76" s="546"/>
      <c r="AT76" s="546"/>
    </row>
    <row r="77" spans="1:46" s="161" customFormat="1" ht="15.75" x14ac:dyDescent="0.25">
      <c r="A77" s="538" t="s">
        <v>96</v>
      </c>
      <c r="B77" s="539"/>
      <c r="C77" s="539" t="s">
        <v>273</v>
      </c>
      <c r="D77" s="540" t="s">
        <v>273</v>
      </c>
      <c r="E77" s="548" t="s">
        <v>100</v>
      </c>
      <c r="F77" s="551" t="s">
        <v>203</v>
      </c>
      <c r="G77" s="551" t="s">
        <v>102</v>
      </c>
      <c r="H77" s="548" t="s">
        <v>274</v>
      </c>
      <c r="I77" s="553" t="s">
        <v>286</v>
      </c>
      <c r="J77" s="553" t="s">
        <v>287</v>
      </c>
      <c r="K77" s="553" t="s">
        <v>288</v>
      </c>
      <c r="L77" s="556" t="s">
        <v>237</v>
      </c>
      <c r="M77" s="548">
        <v>9</v>
      </c>
      <c r="N77" s="548"/>
      <c r="O77" s="548"/>
      <c r="P77" s="540" t="s">
        <v>129</v>
      </c>
      <c r="Q77" s="242">
        <f t="shared" si="1"/>
        <v>0</v>
      </c>
      <c r="R77" s="243">
        <f t="shared" si="11"/>
        <v>0</v>
      </c>
      <c r="S77" s="253">
        <f t="shared" si="12"/>
        <v>0</v>
      </c>
      <c r="T77" s="253">
        <f t="shared" si="13"/>
        <v>0</v>
      </c>
      <c r="U77" s="253">
        <f t="shared" si="14"/>
        <v>0</v>
      </c>
      <c r="V77" s="254">
        <f t="shared" si="15"/>
        <v>0</v>
      </c>
      <c r="W77" s="255">
        <f t="shared" si="10"/>
        <v>0</v>
      </c>
      <c r="X77" s="453"/>
      <c r="Y77" s="454"/>
      <c r="Z77" s="452"/>
      <c r="AA77" s="455"/>
      <c r="AB77" s="454"/>
      <c r="AC77" s="454"/>
      <c r="AD77" s="572">
        <v>0</v>
      </c>
      <c r="AE77" s="461"/>
      <c r="AF77" s="462"/>
      <c r="AG77" s="460"/>
      <c r="AH77" s="461"/>
      <c r="AI77" s="462"/>
      <c r="AJ77" s="460"/>
      <c r="AK77" s="461"/>
      <c r="AL77" s="463"/>
      <c r="AM77" s="460"/>
      <c r="AN77" s="461"/>
      <c r="AO77" s="462"/>
      <c r="AP77" s="555" t="s">
        <v>278</v>
      </c>
      <c r="AQ77" s="543" t="s">
        <v>240</v>
      </c>
      <c r="AR77" s="552" t="s">
        <v>279</v>
      </c>
      <c r="AS77" s="546"/>
      <c r="AT77" s="546"/>
    </row>
    <row r="78" spans="1:46" s="161" customFormat="1" ht="15.75" x14ac:dyDescent="0.25">
      <c r="A78" s="538" t="s">
        <v>96</v>
      </c>
      <c r="B78" s="539"/>
      <c r="C78" s="539" t="s">
        <v>166</v>
      </c>
      <c r="D78" s="540" t="s">
        <v>167</v>
      </c>
      <c r="E78" s="548" t="s">
        <v>100</v>
      </c>
      <c r="F78" s="551" t="s">
        <v>135</v>
      </c>
      <c r="G78" s="551" t="s">
        <v>112</v>
      </c>
      <c r="H78" s="548" t="s">
        <v>168</v>
      </c>
      <c r="I78" s="553" t="s">
        <v>289</v>
      </c>
      <c r="J78" s="553" t="s">
        <v>290</v>
      </c>
      <c r="K78" s="553" t="s">
        <v>291</v>
      </c>
      <c r="L78" s="556" t="s">
        <v>172</v>
      </c>
      <c r="M78" s="548" t="s">
        <v>128</v>
      </c>
      <c r="N78" s="548"/>
      <c r="O78" s="548"/>
      <c r="P78" s="568" t="s">
        <v>129</v>
      </c>
      <c r="Q78" s="242">
        <f t="shared" si="1"/>
        <v>614392</v>
      </c>
      <c r="R78" s="243">
        <f t="shared" si="11"/>
        <v>0</v>
      </c>
      <c r="S78" s="253">
        <f t="shared" si="12"/>
        <v>614392</v>
      </c>
      <c r="T78" s="253">
        <f t="shared" si="13"/>
        <v>0</v>
      </c>
      <c r="U78" s="253">
        <f t="shared" si="14"/>
        <v>0</v>
      </c>
      <c r="V78" s="254">
        <f t="shared" si="15"/>
        <v>0</v>
      </c>
      <c r="W78" s="255">
        <f t="shared" si="10"/>
        <v>0</v>
      </c>
      <c r="X78" s="453"/>
      <c r="Y78" s="454"/>
      <c r="Z78" s="452"/>
      <c r="AA78" s="455">
        <v>614392</v>
      </c>
      <c r="AB78" s="454"/>
      <c r="AC78" s="454"/>
      <c r="AD78" s="460"/>
      <c r="AE78" s="461"/>
      <c r="AF78" s="462"/>
      <c r="AG78" s="460"/>
      <c r="AH78" s="461"/>
      <c r="AI78" s="462"/>
      <c r="AJ78" s="460"/>
      <c r="AK78" s="461"/>
      <c r="AL78" s="463"/>
      <c r="AM78" s="460"/>
      <c r="AN78" s="461"/>
      <c r="AO78" s="462"/>
      <c r="AP78" s="555"/>
      <c r="AQ78" s="543" t="s">
        <v>272</v>
      </c>
      <c r="AR78" s="552"/>
      <c r="AS78" s="546"/>
      <c r="AT78" s="546"/>
    </row>
    <row r="79" spans="1:46" s="161" customFormat="1" ht="15.75" x14ac:dyDescent="0.25">
      <c r="A79" s="538" t="s">
        <v>96</v>
      </c>
      <c r="B79" s="539"/>
      <c r="C79" s="539" t="s">
        <v>166</v>
      </c>
      <c r="D79" s="540" t="s">
        <v>167</v>
      </c>
      <c r="E79" s="548" t="s">
        <v>100</v>
      </c>
      <c r="F79" s="551" t="s">
        <v>135</v>
      </c>
      <c r="G79" s="551" t="s">
        <v>112</v>
      </c>
      <c r="H79" s="548" t="s">
        <v>168</v>
      </c>
      <c r="I79" s="553" t="s">
        <v>289</v>
      </c>
      <c r="J79" s="553" t="s">
        <v>292</v>
      </c>
      <c r="K79" s="553" t="s">
        <v>291</v>
      </c>
      <c r="L79" s="556" t="s">
        <v>172</v>
      </c>
      <c r="M79" s="548" t="s">
        <v>128</v>
      </c>
      <c r="N79" s="548"/>
      <c r="O79" s="548"/>
      <c r="P79" s="568" t="s">
        <v>129</v>
      </c>
      <c r="Q79" s="242">
        <f t="shared" si="1"/>
        <v>618392</v>
      </c>
      <c r="R79" s="243">
        <f t="shared" si="11"/>
        <v>0</v>
      </c>
      <c r="S79" s="253">
        <f t="shared" si="12"/>
        <v>618392</v>
      </c>
      <c r="T79" s="253">
        <f t="shared" si="13"/>
        <v>0</v>
      </c>
      <c r="U79" s="253">
        <f t="shared" si="14"/>
        <v>0</v>
      </c>
      <c r="V79" s="254">
        <f t="shared" si="15"/>
        <v>0</v>
      </c>
      <c r="W79" s="255">
        <f t="shared" si="10"/>
        <v>0</v>
      </c>
      <c r="X79" s="453"/>
      <c r="Y79" s="454"/>
      <c r="Z79" s="452"/>
      <c r="AA79" s="455">
        <v>618392</v>
      </c>
      <c r="AB79" s="454"/>
      <c r="AC79" s="454"/>
      <c r="AD79" s="460"/>
      <c r="AE79" s="461"/>
      <c r="AF79" s="462"/>
      <c r="AG79" s="460"/>
      <c r="AH79" s="461"/>
      <c r="AI79" s="462"/>
      <c r="AJ79" s="460"/>
      <c r="AK79" s="461"/>
      <c r="AL79" s="463"/>
      <c r="AM79" s="460"/>
      <c r="AN79" s="461"/>
      <c r="AO79" s="462"/>
      <c r="AP79" s="555"/>
      <c r="AQ79" s="543" t="s">
        <v>272</v>
      </c>
      <c r="AR79" s="552"/>
      <c r="AS79" s="546"/>
      <c r="AT79" s="546"/>
    </row>
    <row r="80" spans="1:46" s="161" customFormat="1" ht="15.75" x14ac:dyDescent="0.25">
      <c r="A80" s="538" t="s">
        <v>96</v>
      </c>
      <c r="B80" s="539"/>
      <c r="C80" s="539" t="s">
        <v>166</v>
      </c>
      <c r="D80" s="540" t="s">
        <v>167</v>
      </c>
      <c r="E80" s="548" t="s">
        <v>100</v>
      </c>
      <c r="F80" s="551" t="s">
        <v>135</v>
      </c>
      <c r="G80" s="551" t="s">
        <v>112</v>
      </c>
      <c r="H80" s="548" t="s">
        <v>168</v>
      </c>
      <c r="I80" s="553" t="s">
        <v>293</v>
      </c>
      <c r="J80" s="553" t="s">
        <v>294</v>
      </c>
      <c r="K80" s="553" t="s">
        <v>295</v>
      </c>
      <c r="L80" s="556" t="s">
        <v>172</v>
      </c>
      <c r="M80" s="548" t="s">
        <v>128</v>
      </c>
      <c r="N80" s="548"/>
      <c r="O80" s="548"/>
      <c r="P80" s="568" t="s">
        <v>129</v>
      </c>
      <c r="Q80" s="242">
        <f t="shared" si="1"/>
        <v>241029</v>
      </c>
      <c r="R80" s="243">
        <f t="shared" si="11"/>
        <v>0</v>
      </c>
      <c r="S80" s="253">
        <f t="shared" si="12"/>
        <v>241029</v>
      </c>
      <c r="T80" s="253">
        <f t="shared" si="13"/>
        <v>0</v>
      </c>
      <c r="U80" s="253">
        <f t="shared" si="14"/>
        <v>0</v>
      </c>
      <c r="V80" s="254">
        <f t="shared" si="15"/>
        <v>0</v>
      </c>
      <c r="W80" s="255">
        <f t="shared" si="10"/>
        <v>0</v>
      </c>
      <c r="X80" s="453"/>
      <c r="Y80" s="454"/>
      <c r="Z80" s="452"/>
      <c r="AA80" s="455">
        <v>241029</v>
      </c>
      <c r="AB80" s="454"/>
      <c r="AC80" s="454"/>
      <c r="AD80" s="460"/>
      <c r="AE80" s="461"/>
      <c r="AF80" s="462"/>
      <c r="AG80" s="460"/>
      <c r="AH80" s="461"/>
      <c r="AI80" s="462"/>
      <c r="AJ80" s="460"/>
      <c r="AK80" s="461"/>
      <c r="AL80" s="463"/>
      <c r="AM80" s="460"/>
      <c r="AN80" s="461"/>
      <c r="AO80" s="462"/>
      <c r="AP80" s="555"/>
      <c r="AQ80" s="543" t="s">
        <v>272</v>
      </c>
      <c r="AR80" s="552"/>
      <c r="AS80" s="546"/>
      <c r="AT80" s="546"/>
    </row>
    <row r="81" spans="1:46" s="161" customFormat="1" ht="15.75" x14ac:dyDescent="0.25">
      <c r="A81" s="538" t="s">
        <v>96</v>
      </c>
      <c r="B81" s="539"/>
      <c r="C81" s="539" t="s">
        <v>120</v>
      </c>
      <c r="D81" s="540" t="s">
        <v>121</v>
      </c>
      <c r="E81" s="548" t="s">
        <v>100</v>
      </c>
      <c r="F81" s="551" t="s">
        <v>135</v>
      </c>
      <c r="G81" s="551" t="s">
        <v>112</v>
      </c>
      <c r="H81" s="548" t="s">
        <v>168</v>
      </c>
      <c r="I81" s="553" t="s">
        <v>296</v>
      </c>
      <c r="J81" s="553" t="s">
        <v>297</v>
      </c>
      <c r="K81" s="553" t="s">
        <v>298</v>
      </c>
      <c r="L81" s="556" t="s">
        <v>172</v>
      </c>
      <c r="M81" s="548" t="s">
        <v>128</v>
      </c>
      <c r="N81" s="548"/>
      <c r="O81" s="548"/>
      <c r="P81" s="568" t="s">
        <v>129</v>
      </c>
      <c r="Q81" s="242">
        <f t="shared" si="1"/>
        <v>550000</v>
      </c>
      <c r="R81" s="243">
        <f t="shared" si="11"/>
        <v>0</v>
      </c>
      <c r="S81" s="253">
        <f t="shared" si="12"/>
        <v>550000</v>
      </c>
      <c r="T81" s="253">
        <f t="shared" si="13"/>
        <v>0</v>
      </c>
      <c r="U81" s="253">
        <f t="shared" si="14"/>
        <v>0</v>
      </c>
      <c r="V81" s="254">
        <f t="shared" si="15"/>
        <v>0</v>
      </c>
      <c r="W81" s="255">
        <f t="shared" si="10"/>
        <v>0</v>
      </c>
      <c r="X81" s="453"/>
      <c r="Y81" s="454"/>
      <c r="Z81" s="452"/>
      <c r="AA81" s="455">
        <v>550000</v>
      </c>
      <c r="AB81" s="454"/>
      <c r="AC81" s="454"/>
      <c r="AD81" s="460"/>
      <c r="AE81" s="461"/>
      <c r="AF81" s="462"/>
      <c r="AG81" s="460"/>
      <c r="AH81" s="461"/>
      <c r="AI81" s="462"/>
      <c r="AJ81" s="460"/>
      <c r="AK81" s="461"/>
      <c r="AL81" s="463"/>
      <c r="AM81" s="460"/>
      <c r="AN81" s="461"/>
      <c r="AO81" s="462"/>
      <c r="AP81" s="555"/>
      <c r="AQ81" s="543" t="s">
        <v>272</v>
      </c>
      <c r="AR81" s="552"/>
      <c r="AS81" s="546"/>
      <c r="AT81" s="546"/>
    </row>
    <row r="82" spans="1:46" s="161" customFormat="1" ht="15.75" x14ac:dyDescent="0.25">
      <c r="A82" s="538" t="s">
        <v>96</v>
      </c>
      <c r="B82" s="539"/>
      <c r="C82" s="539" t="s">
        <v>120</v>
      </c>
      <c r="D82" s="540" t="s">
        <v>121</v>
      </c>
      <c r="E82" s="540" t="s">
        <v>100</v>
      </c>
      <c r="F82" s="548" t="s">
        <v>135</v>
      </c>
      <c r="G82" s="551" t="s">
        <v>102</v>
      </c>
      <c r="H82" s="548" t="s">
        <v>123</v>
      </c>
      <c r="I82" s="553" t="s">
        <v>299</v>
      </c>
      <c r="J82" s="553" t="s">
        <v>300</v>
      </c>
      <c r="K82" s="553" t="s">
        <v>301</v>
      </c>
      <c r="L82" s="556" t="s">
        <v>140</v>
      </c>
      <c r="M82" s="548">
        <v>1</v>
      </c>
      <c r="N82" s="548"/>
      <c r="O82" s="548" t="s">
        <v>302</v>
      </c>
      <c r="P82" s="540" t="s">
        <v>129</v>
      </c>
      <c r="Q82" s="242">
        <f t="shared" si="1"/>
        <v>2038091</v>
      </c>
      <c r="R82" s="243">
        <f t="shared" si="11"/>
        <v>0</v>
      </c>
      <c r="S82" s="253">
        <f t="shared" si="12"/>
        <v>0</v>
      </c>
      <c r="T82" s="253">
        <f t="shared" si="13"/>
        <v>642270</v>
      </c>
      <c r="U82" s="253">
        <f t="shared" si="14"/>
        <v>873583</v>
      </c>
      <c r="V82" s="254">
        <f t="shared" si="15"/>
        <v>522238</v>
      </c>
      <c r="W82" s="255">
        <f t="shared" si="10"/>
        <v>0</v>
      </c>
      <c r="X82" s="453"/>
      <c r="Y82" s="454"/>
      <c r="Z82" s="452"/>
      <c r="AA82" s="455"/>
      <c r="AB82" s="454"/>
      <c r="AC82" s="454"/>
      <c r="AD82" s="460">
        <v>642270</v>
      </c>
      <c r="AE82" s="461"/>
      <c r="AF82" s="462"/>
      <c r="AG82" s="460">
        <v>873583</v>
      </c>
      <c r="AH82" s="461"/>
      <c r="AI82" s="462"/>
      <c r="AJ82" s="489">
        <v>522238</v>
      </c>
      <c r="AK82" s="461"/>
      <c r="AL82" s="463"/>
      <c r="AM82" s="460"/>
      <c r="AN82" s="461"/>
      <c r="AO82" s="462"/>
      <c r="AP82" s="555" t="s">
        <v>303</v>
      </c>
      <c r="AQ82" s="543" t="s">
        <v>240</v>
      </c>
      <c r="AR82" s="552" t="s">
        <v>304</v>
      </c>
      <c r="AS82" s="546"/>
      <c r="AT82" s="546"/>
    </row>
    <row r="83" spans="1:46" s="161" customFormat="1" ht="15.75" x14ac:dyDescent="0.25">
      <c r="A83" s="538" t="s">
        <v>96</v>
      </c>
      <c r="B83" s="539"/>
      <c r="C83" s="539" t="s">
        <v>120</v>
      </c>
      <c r="D83" s="540" t="s">
        <v>121</v>
      </c>
      <c r="E83" s="540" t="s">
        <v>100</v>
      </c>
      <c r="F83" s="548" t="s">
        <v>135</v>
      </c>
      <c r="G83" s="551" t="s">
        <v>102</v>
      </c>
      <c r="H83" s="548" t="s">
        <v>123</v>
      </c>
      <c r="I83" s="553" t="s">
        <v>305</v>
      </c>
      <c r="J83" s="553" t="s">
        <v>306</v>
      </c>
      <c r="K83" s="553" t="s">
        <v>307</v>
      </c>
      <c r="L83" s="556" t="s">
        <v>140</v>
      </c>
      <c r="M83" s="548">
        <v>6</v>
      </c>
      <c r="N83" s="548"/>
      <c r="O83" s="548"/>
      <c r="P83" s="540" t="s">
        <v>129</v>
      </c>
      <c r="Q83" s="242">
        <f t="shared" si="1"/>
        <v>331500</v>
      </c>
      <c r="R83" s="243">
        <f t="shared" si="11"/>
        <v>0</v>
      </c>
      <c r="S83" s="253">
        <f t="shared" si="12"/>
        <v>0</v>
      </c>
      <c r="T83" s="253">
        <f t="shared" si="13"/>
        <v>204500</v>
      </c>
      <c r="U83" s="253">
        <f t="shared" si="14"/>
        <v>80000</v>
      </c>
      <c r="V83" s="254">
        <f t="shared" si="15"/>
        <v>47000</v>
      </c>
      <c r="W83" s="255">
        <f t="shared" si="10"/>
        <v>0</v>
      </c>
      <c r="X83" s="453"/>
      <c r="Y83" s="454"/>
      <c r="Z83" s="452"/>
      <c r="AA83" s="455"/>
      <c r="AB83" s="454"/>
      <c r="AC83" s="454"/>
      <c r="AD83" s="460">
        <v>204500</v>
      </c>
      <c r="AE83" s="461"/>
      <c r="AF83" s="462"/>
      <c r="AG83" s="460">
        <v>80000</v>
      </c>
      <c r="AH83" s="461"/>
      <c r="AI83" s="462"/>
      <c r="AJ83" s="460">
        <v>47000</v>
      </c>
      <c r="AK83" s="461"/>
      <c r="AL83" s="463"/>
      <c r="AM83" s="460"/>
      <c r="AN83" s="461"/>
      <c r="AO83" s="462"/>
      <c r="AP83" s="555"/>
      <c r="AQ83" s="543" t="s">
        <v>240</v>
      </c>
      <c r="AR83" s="552" t="s">
        <v>308</v>
      </c>
      <c r="AS83" s="546"/>
      <c r="AT83" s="546"/>
    </row>
    <row r="84" spans="1:46" s="161" customFormat="1" ht="15.75" x14ac:dyDescent="0.25">
      <c r="A84" s="538" t="s">
        <v>96</v>
      </c>
      <c r="B84" s="539"/>
      <c r="C84" s="539" t="s">
        <v>146</v>
      </c>
      <c r="D84" s="540" t="s">
        <v>147</v>
      </c>
      <c r="E84" s="540" t="s">
        <v>100</v>
      </c>
      <c r="F84" s="548" t="s">
        <v>135</v>
      </c>
      <c r="G84" s="551" t="s">
        <v>112</v>
      </c>
      <c r="H84" s="548" t="s">
        <v>168</v>
      </c>
      <c r="I84" s="553" t="s">
        <v>309</v>
      </c>
      <c r="J84" s="553" t="s">
        <v>310</v>
      </c>
      <c r="K84" s="553" t="s">
        <v>311</v>
      </c>
      <c r="L84" s="556" t="s">
        <v>140</v>
      </c>
      <c r="M84" s="548">
        <v>7</v>
      </c>
      <c r="N84" s="548"/>
      <c r="O84" s="548"/>
      <c r="P84" s="540" t="s">
        <v>129</v>
      </c>
      <c r="Q84" s="242">
        <f t="shared" si="1"/>
        <v>40000</v>
      </c>
      <c r="R84" s="243">
        <f t="shared" si="11"/>
        <v>0</v>
      </c>
      <c r="S84" s="253">
        <f t="shared" si="12"/>
        <v>40000</v>
      </c>
      <c r="T84" s="253">
        <f t="shared" si="13"/>
        <v>0</v>
      </c>
      <c r="U84" s="253">
        <f t="shared" si="14"/>
        <v>0</v>
      </c>
      <c r="V84" s="254">
        <f t="shared" si="15"/>
        <v>0</v>
      </c>
      <c r="W84" s="255">
        <f t="shared" si="10"/>
        <v>0</v>
      </c>
      <c r="X84" s="453"/>
      <c r="Y84" s="454"/>
      <c r="Z84" s="452"/>
      <c r="AA84" s="455"/>
      <c r="AB84" s="454">
        <v>40000</v>
      </c>
      <c r="AC84" s="454"/>
      <c r="AD84" s="460"/>
      <c r="AE84" s="461"/>
      <c r="AF84" s="462"/>
      <c r="AG84" s="460"/>
      <c r="AH84" s="461"/>
      <c r="AI84" s="462"/>
      <c r="AJ84" s="460"/>
      <c r="AK84" s="461"/>
      <c r="AL84" s="463"/>
      <c r="AM84" s="460"/>
      <c r="AN84" s="461"/>
      <c r="AO84" s="462"/>
      <c r="AP84" s="555" t="s">
        <v>312</v>
      </c>
      <c r="AQ84" s="543" t="s">
        <v>272</v>
      </c>
      <c r="AR84" s="552"/>
      <c r="AS84" s="546"/>
      <c r="AT84" s="546"/>
    </row>
    <row r="85" spans="1:46" s="161" customFormat="1" ht="15.75" x14ac:dyDescent="0.25">
      <c r="A85" s="538" t="s">
        <v>96</v>
      </c>
      <c r="B85" s="539"/>
      <c r="C85" s="539" t="s">
        <v>166</v>
      </c>
      <c r="D85" s="540" t="s">
        <v>167</v>
      </c>
      <c r="E85" s="540" t="s">
        <v>100</v>
      </c>
      <c r="F85" s="548" t="s">
        <v>135</v>
      </c>
      <c r="G85" s="551" t="s">
        <v>112</v>
      </c>
      <c r="H85" s="548" t="s">
        <v>168</v>
      </c>
      <c r="I85" s="553" t="s">
        <v>313</v>
      </c>
      <c r="J85" s="553" t="s">
        <v>314</v>
      </c>
      <c r="K85" s="553" t="s">
        <v>315</v>
      </c>
      <c r="L85" s="556" t="s">
        <v>140</v>
      </c>
      <c r="M85" s="548">
        <v>8</v>
      </c>
      <c r="N85" s="548"/>
      <c r="O85" s="548"/>
      <c r="P85" s="540" t="s">
        <v>129</v>
      </c>
      <c r="Q85" s="242">
        <f t="shared" si="1"/>
        <v>60000</v>
      </c>
      <c r="R85" s="243">
        <f t="shared" si="11"/>
        <v>0</v>
      </c>
      <c r="S85" s="253">
        <f t="shared" si="12"/>
        <v>0</v>
      </c>
      <c r="T85" s="253">
        <f t="shared" si="13"/>
        <v>60000</v>
      </c>
      <c r="U85" s="253">
        <f t="shared" si="14"/>
        <v>0</v>
      </c>
      <c r="V85" s="254">
        <f t="shared" si="15"/>
        <v>0</v>
      </c>
      <c r="W85" s="255">
        <f t="shared" si="10"/>
        <v>0</v>
      </c>
      <c r="X85" s="453"/>
      <c r="Y85" s="454"/>
      <c r="Z85" s="452"/>
      <c r="AA85" s="455"/>
      <c r="AB85" s="454"/>
      <c r="AC85" s="454"/>
      <c r="AD85" s="460"/>
      <c r="AE85" s="571">
        <v>60000</v>
      </c>
      <c r="AF85" s="462"/>
      <c r="AG85" s="460"/>
      <c r="AH85" s="461"/>
      <c r="AI85" s="462"/>
      <c r="AJ85" s="460"/>
      <c r="AK85" s="461"/>
      <c r="AL85" s="463"/>
      <c r="AM85" s="460"/>
      <c r="AN85" s="461"/>
      <c r="AO85" s="462"/>
      <c r="AP85" s="555" t="s">
        <v>312</v>
      </c>
      <c r="AQ85" s="543" t="s">
        <v>272</v>
      </c>
      <c r="AR85" s="552"/>
      <c r="AS85" s="546"/>
      <c r="AT85" s="546"/>
    </row>
    <row r="86" spans="1:46" s="161" customFormat="1" ht="15.75" x14ac:dyDescent="0.25">
      <c r="A86" s="538" t="s">
        <v>96</v>
      </c>
      <c r="B86" s="539"/>
      <c r="C86" s="539" t="s">
        <v>316</v>
      </c>
      <c r="D86" s="540" t="s">
        <v>273</v>
      </c>
      <c r="E86" s="540" t="s">
        <v>100</v>
      </c>
      <c r="F86" s="548" t="s">
        <v>135</v>
      </c>
      <c r="G86" s="551" t="s">
        <v>112</v>
      </c>
      <c r="H86" s="548" t="s">
        <v>168</v>
      </c>
      <c r="I86" s="553" t="s">
        <v>317</v>
      </c>
      <c r="J86" s="553" t="s">
        <v>318</v>
      </c>
      <c r="K86" s="553" t="s">
        <v>319</v>
      </c>
      <c r="L86" s="556" t="s">
        <v>172</v>
      </c>
      <c r="M86" s="548">
        <v>4</v>
      </c>
      <c r="N86" s="548"/>
      <c r="O86" s="548"/>
      <c r="P86" s="540" t="s">
        <v>129</v>
      </c>
      <c r="Q86" s="242">
        <f t="shared" si="1"/>
        <v>250000</v>
      </c>
      <c r="R86" s="243">
        <f t="shared" si="11"/>
        <v>0</v>
      </c>
      <c r="S86" s="253">
        <f t="shared" si="12"/>
        <v>0</v>
      </c>
      <c r="T86" s="253">
        <f t="shared" si="13"/>
        <v>250000</v>
      </c>
      <c r="U86" s="253">
        <f t="shared" si="14"/>
        <v>0</v>
      </c>
      <c r="V86" s="254">
        <f t="shared" si="15"/>
        <v>0</v>
      </c>
      <c r="W86" s="255">
        <f t="shared" si="10"/>
        <v>0</v>
      </c>
      <c r="X86" s="453"/>
      <c r="Y86" s="454"/>
      <c r="Z86" s="452"/>
      <c r="AA86" s="455"/>
      <c r="AB86" s="454"/>
      <c r="AC86" s="454"/>
      <c r="AD86" s="460">
        <v>250000</v>
      </c>
      <c r="AE86" s="461"/>
      <c r="AF86" s="462"/>
      <c r="AG86" s="460"/>
      <c r="AH86" s="461"/>
      <c r="AI86" s="462"/>
      <c r="AJ86" s="460"/>
      <c r="AK86" s="461"/>
      <c r="AL86" s="463"/>
      <c r="AM86" s="460"/>
      <c r="AN86" s="461"/>
      <c r="AO86" s="462"/>
      <c r="AP86" s="555" t="s">
        <v>312</v>
      </c>
      <c r="AQ86" s="543" t="s">
        <v>272</v>
      </c>
      <c r="AR86" s="552"/>
      <c r="AS86" s="546"/>
      <c r="AT86" s="546"/>
    </row>
    <row r="87" spans="1:46" s="161" customFormat="1" ht="15.75" x14ac:dyDescent="0.25">
      <c r="A87" s="538" t="s">
        <v>96</v>
      </c>
      <c r="B87" s="539"/>
      <c r="C87" s="539" t="s">
        <v>120</v>
      </c>
      <c r="D87" s="540" t="s">
        <v>121</v>
      </c>
      <c r="E87" s="540" t="s">
        <v>100</v>
      </c>
      <c r="F87" s="548" t="s">
        <v>135</v>
      </c>
      <c r="G87" s="551" t="s">
        <v>102</v>
      </c>
      <c r="H87" s="548" t="s">
        <v>123</v>
      </c>
      <c r="I87" s="553" t="s">
        <v>320</v>
      </c>
      <c r="J87" s="553" t="s">
        <v>321</v>
      </c>
      <c r="K87" s="553" t="s">
        <v>322</v>
      </c>
      <c r="L87" s="556"/>
      <c r="M87" s="548" t="s">
        <v>18</v>
      </c>
      <c r="N87" s="548"/>
      <c r="O87" s="548"/>
      <c r="P87" s="540" t="s">
        <v>18</v>
      </c>
      <c r="Q87" s="242">
        <f t="shared" si="1"/>
        <v>60000</v>
      </c>
      <c r="R87" s="243">
        <f t="shared" si="11"/>
        <v>0</v>
      </c>
      <c r="S87" s="253">
        <f t="shared" si="12"/>
        <v>0</v>
      </c>
      <c r="T87" s="253">
        <f t="shared" si="13"/>
        <v>60000</v>
      </c>
      <c r="U87" s="253">
        <f t="shared" si="14"/>
        <v>0</v>
      </c>
      <c r="V87" s="254">
        <f t="shared" si="15"/>
        <v>0</v>
      </c>
      <c r="W87" s="255">
        <f t="shared" si="10"/>
        <v>0</v>
      </c>
      <c r="X87" s="453"/>
      <c r="Y87" s="454"/>
      <c r="Z87" s="452"/>
      <c r="AA87" s="455"/>
      <c r="AB87" s="454"/>
      <c r="AC87" s="454"/>
      <c r="AD87" s="460"/>
      <c r="AE87" s="461"/>
      <c r="AF87" s="462">
        <v>60000</v>
      </c>
      <c r="AG87" s="460"/>
      <c r="AH87" s="461"/>
      <c r="AI87" s="462"/>
      <c r="AJ87" s="460"/>
      <c r="AK87" s="461"/>
      <c r="AL87" s="463"/>
      <c r="AM87" s="460"/>
      <c r="AN87" s="461"/>
      <c r="AO87" s="462"/>
      <c r="AP87" s="555" t="s">
        <v>312</v>
      </c>
      <c r="AQ87" s="543" t="s">
        <v>272</v>
      </c>
      <c r="AR87" s="552"/>
      <c r="AS87" s="546"/>
      <c r="AT87" s="546"/>
    </row>
    <row r="88" spans="1:46" s="161" customFormat="1" ht="15.75" x14ac:dyDescent="0.25">
      <c r="A88" s="538" t="s">
        <v>96</v>
      </c>
      <c r="B88" s="539"/>
      <c r="C88" s="539" t="s">
        <v>166</v>
      </c>
      <c r="D88" s="540" t="s">
        <v>167</v>
      </c>
      <c r="E88" s="540" t="s">
        <v>100</v>
      </c>
      <c r="F88" s="548" t="s">
        <v>135</v>
      </c>
      <c r="G88" s="551" t="s">
        <v>112</v>
      </c>
      <c r="H88" s="548" t="s">
        <v>168</v>
      </c>
      <c r="I88" s="553" t="s">
        <v>323</v>
      </c>
      <c r="J88" s="553" t="s">
        <v>324</v>
      </c>
      <c r="K88" s="553" t="s">
        <v>325</v>
      </c>
      <c r="L88" s="161" t="s">
        <v>237</v>
      </c>
      <c r="M88" s="548" t="s">
        <v>238</v>
      </c>
      <c r="N88" s="548"/>
      <c r="O88" s="548"/>
      <c r="P88" s="540" t="s">
        <v>129</v>
      </c>
      <c r="Q88" s="242">
        <f t="shared" si="1"/>
        <v>642676</v>
      </c>
      <c r="R88" s="243">
        <f t="shared" si="11"/>
        <v>0</v>
      </c>
      <c r="S88" s="253">
        <f t="shared" si="12"/>
        <v>0</v>
      </c>
      <c r="T88" s="253">
        <f t="shared" si="13"/>
        <v>0</v>
      </c>
      <c r="U88" s="253">
        <f t="shared" si="14"/>
        <v>321338</v>
      </c>
      <c r="V88" s="254">
        <f t="shared" si="15"/>
        <v>321338</v>
      </c>
      <c r="W88" s="255">
        <f t="shared" si="10"/>
        <v>0</v>
      </c>
      <c r="X88" s="453"/>
      <c r="Y88" s="454"/>
      <c r="Z88" s="452"/>
      <c r="AA88" s="455"/>
      <c r="AB88" s="454"/>
      <c r="AC88" s="454"/>
      <c r="AD88" s="460"/>
      <c r="AE88" s="461"/>
      <c r="AF88" s="462"/>
      <c r="AG88" s="460">
        <v>321338</v>
      </c>
      <c r="AH88" s="461"/>
      <c r="AI88" s="462"/>
      <c r="AJ88" s="460">
        <v>321338</v>
      </c>
      <c r="AK88" s="461"/>
      <c r="AL88" s="463"/>
      <c r="AM88" s="460"/>
      <c r="AN88" s="461"/>
      <c r="AO88" s="462"/>
      <c r="AP88" s="555" t="s">
        <v>312</v>
      </c>
      <c r="AQ88" s="543" t="s">
        <v>272</v>
      </c>
      <c r="AR88" s="552"/>
      <c r="AS88" s="546"/>
      <c r="AT88" s="546"/>
    </row>
    <row r="89" spans="1:46" s="161" customFormat="1" ht="15.75" x14ac:dyDescent="0.25">
      <c r="A89" s="538" t="s">
        <v>96</v>
      </c>
      <c r="B89" s="539"/>
      <c r="C89" s="539" t="s">
        <v>166</v>
      </c>
      <c r="D89" s="540" t="s">
        <v>167</v>
      </c>
      <c r="E89" s="540" t="s">
        <v>100</v>
      </c>
      <c r="F89" s="548" t="s">
        <v>135</v>
      </c>
      <c r="G89" s="551" t="s">
        <v>112</v>
      </c>
      <c r="H89" s="548" t="s">
        <v>168</v>
      </c>
      <c r="I89" s="553" t="s">
        <v>326</v>
      </c>
      <c r="J89" s="553" t="s">
        <v>327</v>
      </c>
      <c r="K89" s="553" t="s">
        <v>328</v>
      </c>
      <c r="L89" s="556" t="s">
        <v>237</v>
      </c>
      <c r="M89" s="548" t="s">
        <v>238</v>
      </c>
      <c r="N89" s="548"/>
      <c r="O89" s="548"/>
      <c r="P89" s="540" t="s">
        <v>129</v>
      </c>
      <c r="Q89" s="242">
        <f t="shared" si="1"/>
        <v>638462</v>
      </c>
      <c r="R89" s="243">
        <f t="shared" si="11"/>
        <v>0</v>
      </c>
      <c r="S89" s="253">
        <f t="shared" si="12"/>
        <v>0</v>
      </c>
      <c r="T89" s="253">
        <f t="shared" si="13"/>
        <v>0</v>
      </c>
      <c r="U89" s="253">
        <f t="shared" si="14"/>
        <v>319231</v>
      </c>
      <c r="V89" s="254">
        <f t="shared" si="15"/>
        <v>319231</v>
      </c>
      <c r="W89" s="255">
        <f t="shared" si="10"/>
        <v>0</v>
      </c>
      <c r="X89" s="453"/>
      <c r="Y89" s="454"/>
      <c r="Z89" s="452"/>
      <c r="AA89" s="455"/>
      <c r="AB89" s="454"/>
      <c r="AC89" s="454"/>
      <c r="AD89" s="460"/>
      <c r="AE89" s="461"/>
      <c r="AF89" s="462"/>
      <c r="AG89" s="460">
        <v>319231</v>
      </c>
      <c r="AH89" s="461"/>
      <c r="AI89" s="462"/>
      <c r="AJ89" s="460">
        <v>319231</v>
      </c>
      <c r="AK89" s="461"/>
      <c r="AL89" s="463"/>
      <c r="AM89" s="460"/>
      <c r="AN89" s="461"/>
      <c r="AO89" s="462"/>
      <c r="AP89" s="555" t="s">
        <v>312</v>
      </c>
      <c r="AQ89" s="543" t="s">
        <v>272</v>
      </c>
      <c r="AR89" s="552"/>
      <c r="AS89" s="546"/>
      <c r="AT89" s="546"/>
    </row>
    <row r="90" spans="1:46" s="161" customFormat="1" ht="15.75" x14ac:dyDescent="0.25">
      <c r="A90" s="538" t="s">
        <v>96</v>
      </c>
      <c r="B90" s="539"/>
      <c r="C90" s="539" t="s">
        <v>166</v>
      </c>
      <c r="D90" s="540" t="s">
        <v>167</v>
      </c>
      <c r="E90" s="540" t="s">
        <v>100</v>
      </c>
      <c r="F90" s="540" t="s">
        <v>135</v>
      </c>
      <c r="G90" s="551" t="s">
        <v>112</v>
      </c>
      <c r="H90" s="540" t="s">
        <v>168</v>
      </c>
      <c r="I90" s="540" t="s">
        <v>326</v>
      </c>
      <c r="J90" s="547" t="s">
        <v>329</v>
      </c>
      <c r="K90" s="540" t="s">
        <v>328</v>
      </c>
      <c r="L90" s="541" t="s">
        <v>237</v>
      </c>
      <c r="M90" s="540" t="s">
        <v>238</v>
      </c>
      <c r="N90" s="540"/>
      <c r="O90" s="540"/>
      <c r="P90" s="540" t="s">
        <v>129</v>
      </c>
      <c r="Q90" s="242">
        <f t="shared" si="1"/>
        <v>614392</v>
      </c>
      <c r="R90" s="243">
        <f t="shared" si="11"/>
        <v>0</v>
      </c>
      <c r="S90" s="253">
        <f t="shared" si="12"/>
        <v>0</v>
      </c>
      <c r="T90" s="253">
        <f t="shared" si="13"/>
        <v>0</v>
      </c>
      <c r="U90" s="253">
        <f t="shared" si="14"/>
        <v>307196</v>
      </c>
      <c r="V90" s="254">
        <f t="shared" si="15"/>
        <v>307196</v>
      </c>
      <c r="W90" s="255">
        <f t="shared" si="10"/>
        <v>0</v>
      </c>
      <c r="X90" s="453"/>
      <c r="Y90" s="454"/>
      <c r="Z90" s="452"/>
      <c r="AA90" s="455"/>
      <c r="AB90" s="454"/>
      <c r="AC90" s="454"/>
      <c r="AD90" s="460"/>
      <c r="AE90" s="461"/>
      <c r="AF90" s="462"/>
      <c r="AG90" s="460">
        <v>307196</v>
      </c>
      <c r="AH90" s="461"/>
      <c r="AI90" s="462"/>
      <c r="AJ90" s="460">
        <v>307196</v>
      </c>
      <c r="AK90" s="461"/>
      <c r="AL90" s="463"/>
      <c r="AM90" s="460"/>
      <c r="AN90" s="461"/>
      <c r="AO90" s="462"/>
      <c r="AP90" s="542" t="s">
        <v>312</v>
      </c>
      <c r="AQ90" s="543" t="s">
        <v>272</v>
      </c>
      <c r="AR90" s="544"/>
      <c r="AS90" s="546"/>
      <c r="AT90" s="546"/>
    </row>
    <row r="91" spans="1:46" s="161" customFormat="1" ht="15.75" x14ac:dyDescent="0.25">
      <c r="A91" s="538" t="s">
        <v>96</v>
      </c>
      <c r="B91" s="539"/>
      <c r="C91" s="539" t="s">
        <v>316</v>
      </c>
      <c r="D91" s="540" t="s">
        <v>273</v>
      </c>
      <c r="E91" s="540" t="s">
        <v>100</v>
      </c>
      <c r="F91" s="548" t="s">
        <v>135</v>
      </c>
      <c r="G91" s="548" t="s">
        <v>112</v>
      </c>
      <c r="H91" s="548" t="s">
        <v>168</v>
      </c>
      <c r="I91" s="553" t="s">
        <v>317</v>
      </c>
      <c r="J91" s="557" t="s">
        <v>330</v>
      </c>
      <c r="K91" s="553" t="s">
        <v>319</v>
      </c>
      <c r="L91" s="556" t="s">
        <v>237</v>
      </c>
      <c r="M91" s="548" t="s">
        <v>238</v>
      </c>
      <c r="N91" s="548"/>
      <c r="O91" s="548"/>
      <c r="P91" s="540" t="s">
        <v>129</v>
      </c>
      <c r="Q91" s="242">
        <f t="shared" si="1"/>
        <v>2650000</v>
      </c>
      <c r="R91" s="243">
        <f t="shared" si="11"/>
        <v>0</v>
      </c>
      <c r="S91" s="253">
        <f t="shared" si="12"/>
        <v>0</v>
      </c>
      <c r="T91" s="253">
        <f t="shared" si="13"/>
        <v>0</v>
      </c>
      <c r="U91" s="253">
        <f t="shared" si="14"/>
        <v>2650000</v>
      </c>
      <c r="V91" s="254">
        <f t="shared" si="15"/>
        <v>0</v>
      </c>
      <c r="W91" s="255">
        <f t="shared" si="10"/>
        <v>0</v>
      </c>
      <c r="X91" s="453"/>
      <c r="Y91" s="454"/>
      <c r="Z91" s="452"/>
      <c r="AA91" s="455"/>
      <c r="AB91" s="454"/>
      <c r="AC91" s="454"/>
      <c r="AD91" s="460"/>
      <c r="AE91" s="461"/>
      <c r="AF91" s="462"/>
      <c r="AG91" s="460">
        <v>2650000</v>
      </c>
      <c r="AH91" s="461"/>
      <c r="AI91" s="462"/>
      <c r="AJ91" s="460"/>
      <c r="AK91" s="461"/>
      <c r="AL91" s="463"/>
      <c r="AM91" s="460"/>
      <c r="AN91" s="461"/>
      <c r="AO91" s="462"/>
      <c r="AP91" s="555" t="s">
        <v>312</v>
      </c>
      <c r="AQ91" s="543" t="s">
        <v>272</v>
      </c>
      <c r="AR91" s="552"/>
      <c r="AS91" s="546"/>
      <c r="AT91" s="546"/>
    </row>
    <row r="92" spans="1:46" s="161" customFormat="1" ht="15.75" x14ac:dyDescent="0.25">
      <c r="A92" s="538" t="s">
        <v>96</v>
      </c>
      <c r="B92" s="539"/>
      <c r="C92" s="539" t="s">
        <v>166</v>
      </c>
      <c r="D92" s="540" t="s">
        <v>167</v>
      </c>
      <c r="E92" s="540" t="s">
        <v>100</v>
      </c>
      <c r="F92" s="548" t="s">
        <v>135</v>
      </c>
      <c r="G92" s="548" t="s">
        <v>112</v>
      </c>
      <c r="H92" s="548" t="s">
        <v>168</v>
      </c>
      <c r="I92" s="553" t="s">
        <v>323</v>
      </c>
      <c r="J92" s="557" t="s">
        <v>331</v>
      </c>
      <c r="K92" s="553" t="s">
        <v>325</v>
      </c>
      <c r="L92" s="556" t="s">
        <v>237</v>
      </c>
      <c r="M92" s="548" t="s">
        <v>238</v>
      </c>
      <c r="N92" s="548"/>
      <c r="O92" s="548"/>
      <c r="P92" s="540" t="s">
        <v>129</v>
      </c>
      <c r="Q92" s="242">
        <f t="shared" si="1"/>
        <v>642676</v>
      </c>
      <c r="R92" s="243">
        <f t="shared" si="11"/>
        <v>0</v>
      </c>
      <c r="S92" s="253">
        <f t="shared" si="12"/>
        <v>0</v>
      </c>
      <c r="T92" s="253">
        <f t="shared" si="13"/>
        <v>0</v>
      </c>
      <c r="U92" s="253">
        <f t="shared" si="14"/>
        <v>0</v>
      </c>
      <c r="V92" s="254">
        <f t="shared" si="15"/>
        <v>321338</v>
      </c>
      <c r="W92" s="255">
        <f t="shared" si="10"/>
        <v>321338</v>
      </c>
      <c r="X92" s="453"/>
      <c r="Y92" s="454"/>
      <c r="Z92" s="452"/>
      <c r="AA92" s="455"/>
      <c r="AB92" s="454"/>
      <c r="AC92" s="454"/>
      <c r="AD92" s="460"/>
      <c r="AE92" s="461"/>
      <c r="AF92" s="462"/>
      <c r="AG92" s="460"/>
      <c r="AH92" s="461"/>
      <c r="AI92" s="462"/>
      <c r="AJ92" s="460">
        <v>321338</v>
      </c>
      <c r="AK92" s="461"/>
      <c r="AL92" s="463"/>
      <c r="AM92" s="460">
        <v>321338</v>
      </c>
      <c r="AN92" s="461"/>
      <c r="AO92" s="462"/>
      <c r="AP92" s="555" t="s">
        <v>312</v>
      </c>
      <c r="AQ92" s="543" t="s">
        <v>272</v>
      </c>
      <c r="AR92" s="552"/>
      <c r="AS92" s="546"/>
      <c r="AT92" s="546"/>
    </row>
    <row r="93" spans="1:46" s="161" customFormat="1" ht="15.75" x14ac:dyDescent="0.25">
      <c r="A93" s="538" t="s">
        <v>96</v>
      </c>
      <c r="B93" s="558" t="s">
        <v>97</v>
      </c>
      <c r="C93" s="558" t="s">
        <v>109</v>
      </c>
      <c r="D93" s="559" t="s">
        <v>99</v>
      </c>
      <c r="E93" s="559" t="s">
        <v>100</v>
      </c>
      <c r="F93" s="548" t="s">
        <v>135</v>
      </c>
      <c r="G93" s="551" t="s">
        <v>102</v>
      </c>
      <c r="H93" s="560" t="s">
        <v>103</v>
      </c>
      <c r="I93" s="561" t="s">
        <v>332</v>
      </c>
      <c r="J93" s="562" t="s">
        <v>333</v>
      </c>
      <c r="K93" s="561" t="s">
        <v>334</v>
      </c>
      <c r="L93" s="563"/>
      <c r="M93" s="564" t="s">
        <v>117</v>
      </c>
      <c r="N93" s="564"/>
      <c r="O93" s="564"/>
      <c r="P93" s="559" t="s">
        <v>18</v>
      </c>
      <c r="Q93" s="242">
        <f t="shared" si="1"/>
        <v>795600</v>
      </c>
      <c r="R93" s="243">
        <f t="shared" si="11"/>
        <v>0</v>
      </c>
      <c r="S93" s="253">
        <f t="shared" si="12"/>
        <v>265200</v>
      </c>
      <c r="T93" s="253">
        <f t="shared" si="13"/>
        <v>265200</v>
      </c>
      <c r="U93" s="253">
        <f t="shared" si="14"/>
        <v>265200</v>
      </c>
      <c r="V93" s="254">
        <f t="shared" si="15"/>
        <v>0</v>
      </c>
      <c r="W93" s="255">
        <f t="shared" si="10"/>
        <v>0</v>
      </c>
      <c r="X93" s="456"/>
      <c r="Y93" s="457"/>
      <c r="Z93" s="458"/>
      <c r="AA93" s="459">
        <v>265200</v>
      </c>
      <c r="AB93" s="457"/>
      <c r="AC93" s="457"/>
      <c r="AD93" s="464">
        <v>265200</v>
      </c>
      <c r="AE93" s="465"/>
      <c r="AF93" s="466"/>
      <c r="AG93" s="464">
        <v>265200</v>
      </c>
      <c r="AH93" s="465"/>
      <c r="AI93" s="466"/>
      <c r="AJ93" s="464"/>
      <c r="AK93" s="465"/>
      <c r="AL93" s="465"/>
      <c r="AM93" s="460"/>
      <c r="AN93" s="461"/>
      <c r="AO93" s="462"/>
      <c r="AP93" s="565" t="s">
        <v>229</v>
      </c>
      <c r="AQ93" s="566" t="s">
        <v>230</v>
      </c>
      <c r="AR93" s="567"/>
      <c r="AS93" s="546"/>
      <c r="AT93" s="546"/>
    </row>
    <row r="94" spans="1:46" s="161" customFormat="1" ht="15.6" customHeight="1" thickBot="1" x14ac:dyDescent="0.3">
      <c r="A94" s="37"/>
      <c r="B94" s="29"/>
      <c r="C94" s="38"/>
      <c r="D94" s="38"/>
      <c r="E94" s="38"/>
      <c r="F94" s="38"/>
      <c r="G94" s="38"/>
      <c r="H94" s="38"/>
      <c r="I94" s="38"/>
      <c r="J94" s="29"/>
      <c r="K94" s="38"/>
      <c r="L94" s="38"/>
      <c r="M94" s="38"/>
      <c r="N94" s="38"/>
      <c r="O94" s="38"/>
      <c r="P94" s="38"/>
      <c r="Q94" s="226">
        <f t="shared" si="1"/>
        <v>11014024.399999999</v>
      </c>
      <c r="R94" s="209">
        <f t="shared" si="11"/>
        <v>979339.8</v>
      </c>
      <c r="S94" s="210">
        <f t="shared" si="12"/>
        <v>6725899.7999999998</v>
      </c>
      <c r="T94" s="210">
        <f t="shared" si="13"/>
        <v>3308784.8</v>
      </c>
      <c r="U94" s="210">
        <f t="shared" si="14"/>
        <v>0</v>
      </c>
      <c r="V94" s="211">
        <f t="shared" si="15"/>
        <v>0</v>
      </c>
      <c r="W94" s="211">
        <f t="shared" si="10"/>
        <v>0</v>
      </c>
      <c r="X94" s="273">
        <f t="shared" ref="X94:AF94" si="16">SUM(X35:X93)</f>
        <v>0</v>
      </c>
      <c r="Y94" s="274">
        <f t="shared" si="16"/>
        <v>201172</v>
      </c>
      <c r="Z94" s="275">
        <f t="shared" si="16"/>
        <v>778167.8</v>
      </c>
      <c r="AA94" s="273">
        <f t="shared" si="16"/>
        <v>4604013</v>
      </c>
      <c r="AB94" s="274">
        <f t="shared" si="16"/>
        <v>225850</v>
      </c>
      <c r="AC94" s="275">
        <f t="shared" si="16"/>
        <v>1896036.8</v>
      </c>
      <c r="AD94" s="273">
        <f t="shared" si="16"/>
        <v>1361970</v>
      </c>
      <c r="AE94" s="274">
        <f t="shared" si="16"/>
        <v>381550</v>
      </c>
      <c r="AF94" s="275">
        <f t="shared" si="16"/>
        <v>1565264.8</v>
      </c>
      <c r="AG94" s="212"/>
      <c r="AH94" s="31"/>
      <c r="AI94" s="32"/>
      <c r="AJ94" s="33"/>
      <c r="AK94" s="31"/>
      <c r="AL94" s="31"/>
      <c r="AM94" s="294"/>
      <c r="AN94" s="295"/>
      <c r="AO94" s="32"/>
      <c r="AP94" s="213"/>
      <c r="AQ94" s="214"/>
      <c r="AR94" s="215"/>
      <c r="AS94" s="214"/>
      <c r="AT94" s="214"/>
    </row>
    <row r="95" spans="1:46" ht="15.75" thickBot="1" x14ac:dyDescent="0.3">
      <c r="J95" s="1"/>
      <c r="X95" s="276">
        <f t="shared" ref="X95:AF95" si="17">SUM(X97+X100+X103+X106+X112+X115+X118+X121+X127+X130+X133+X136)</f>
        <v>0</v>
      </c>
      <c r="Y95" s="277">
        <f t="shared" si="17"/>
        <v>201172</v>
      </c>
      <c r="Z95" s="278">
        <f t="shared" si="17"/>
        <v>778167.8</v>
      </c>
      <c r="AA95" s="276">
        <f t="shared" si="17"/>
        <v>4604013</v>
      </c>
      <c r="AB95" s="277">
        <f t="shared" si="17"/>
        <v>225850</v>
      </c>
      <c r="AC95" s="278">
        <f t="shared" si="17"/>
        <v>1896036.8</v>
      </c>
      <c r="AD95" s="276">
        <f t="shared" si="17"/>
        <v>1361970</v>
      </c>
      <c r="AE95" s="277">
        <f t="shared" si="17"/>
        <v>381550</v>
      </c>
      <c r="AF95" s="278">
        <f t="shared" si="17"/>
        <v>1565264.8</v>
      </c>
    </row>
    <row r="96" spans="1:46" ht="15.75" thickBot="1" x14ac:dyDescent="0.3">
      <c r="F96" s="217"/>
      <c r="J96" s="1"/>
      <c r="U96" s="217" t="s">
        <v>129</v>
      </c>
    </row>
    <row r="97" spans="5:43" x14ac:dyDescent="0.25">
      <c r="E97" s="1" t="s">
        <v>100</v>
      </c>
      <c r="F97" s="207" t="s">
        <v>101</v>
      </c>
      <c r="G97" s="1" t="s">
        <v>102</v>
      </c>
      <c r="J97" s="1"/>
      <c r="P97" s="207" t="s">
        <v>118</v>
      </c>
      <c r="Q97" s="207"/>
      <c r="U97" s="1" t="s">
        <v>7</v>
      </c>
      <c r="X97" s="218">
        <f>SUMIFS($X$35:$X$93,$G$35:$G$93,$G$97,$P$35:$P$93,"SF 21-27 (taotletav raha)")</f>
        <v>0</v>
      </c>
      <c r="Y97" s="219">
        <f>SUMIFS($Y$35:$Y$93,$G$35:$G$93,$G$97,$P$35:$P$93,"SF 21-27 (taotletav raha)")</f>
        <v>88500</v>
      </c>
      <c r="Z97" s="220">
        <f>SUMIFS($Z$35:$Z$93,$G$35:$G$93,$G$97,$P$35:$P$93,"SF 21-27 (taotletav raha)")</f>
        <v>0</v>
      </c>
      <c r="AA97" s="218">
        <f>SUMIFS($AA$35:$AA$93,$G$35:$G$93,$G$97,$P$35:$P$93,"SF 21-27 (taotletav raha)")</f>
        <v>2060000</v>
      </c>
      <c r="AB97" s="221">
        <f>SUMIFS($AB$35:$AB$93,$G$35:$G$93,$G$97,$P$35:$P$93,"SF 21-27 (taotletav raha)")</f>
        <v>185850</v>
      </c>
      <c r="AC97" s="222">
        <f>SUMIFS($AC$35:$AC$93,$G$35:$G$93,$G$97,$P$35:$P$93,"SF 21-27 (taotletav raha)")</f>
        <v>0</v>
      </c>
      <c r="AD97" s="223">
        <f>SUMIFS($AD$35:$AD$93,$G$35:$G$93,$G$97,$P$35:$P$93,"SF 21-27 (taotletav raha)")</f>
        <v>846770</v>
      </c>
      <c r="AE97" s="221">
        <f>SUMIFS($AE$35:$AE$93,$G$35:$G$93,$G$97,$P$35:$P$93,"SF 21-27 (taotletav raha)")</f>
        <v>250850</v>
      </c>
      <c r="AF97" s="222">
        <f>SUMIFS($AF$35:$AF$93,$G$35:$G$93,$G$97,$P$35:$P$93,"SF 21-27 (taotletav raha)")</f>
        <v>0</v>
      </c>
      <c r="AQ97" s="1" t="s">
        <v>230</v>
      </c>
    </row>
    <row r="98" spans="5:43" ht="15.75" thickBot="1" x14ac:dyDescent="0.3">
      <c r="E98" s="1" t="s">
        <v>335</v>
      </c>
      <c r="F98" s="207" t="s">
        <v>122</v>
      </c>
      <c r="G98" s="1" t="s">
        <v>143</v>
      </c>
      <c r="J98" s="1"/>
      <c r="P98" s="207" t="s">
        <v>336</v>
      </c>
      <c r="Q98" s="207"/>
      <c r="U98" s="224" t="s">
        <v>337</v>
      </c>
      <c r="V98" s="224"/>
      <c r="W98" s="224"/>
      <c r="X98" s="216">
        <f>X97*1.2</f>
        <v>0</v>
      </c>
      <c r="Y98" s="115">
        <f>Y97</f>
        <v>88500</v>
      </c>
      <c r="Z98" s="116">
        <f>Z97*1.2</f>
        <v>0</v>
      </c>
      <c r="AA98" s="216">
        <f>AA97*1.22</f>
        <v>2513200</v>
      </c>
      <c r="AB98" s="115">
        <f t="shared" ref="AB98" si="18">AB97</f>
        <v>185850</v>
      </c>
      <c r="AC98" s="116">
        <f t="shared" ref="AC98" si="19">AC97*1.22</f>
        <v>0</v>
      </c>
      <c r="AD98" s="216">
        <f>AD97*1.22</f>
        <v>1033059.4</v>
      </c>
      <c r="AE98" s="115">
        <f t="shared" ref="AE98" si="20">AE97</f>
        <v>250850</v>
      </c>
      <c r="AF98" s="116">
        <f t="shared" ref="AF98" si="21">AF97*1.22</f>
        <v>0</v>
      </c>
      <c r="AQ98" s="1" t="s">
        <v>259</v>
      </c>
    </row>
    <row r="99" spans="5:43" ht="15.75" thickBot="1" x14ac:dyDescent="0.3">
      <c r="E99" s="1" t="s">
        <v>244</v>
      </c>
      <c r="F99" s="207" t="s">
        <v>245</v>
      </c>
      <c r="G99" s="1" t="s">
        <v>246</v>
      </c>
      <c r="J99" s="1"/>
      <c r="P99" s="207" t="s">
        <v>338</v>
      </c>
      <c r="Q99" s="207"/>
      <c r="X99" s="225"/>
      <c r="Y99" s="225"/>
      <c r="Z99" s="225"/>
      <c r="AQ99" s="1" t="s">
        <v>339</v>
      </c>
    </row>
    <row r="100" spans="5:43" x14ac:dyDescent="0.25">
      <c r="F100" s="207" t="s">
        <v>340</v>
      </c>
      <c r="G100" s="1" t="s">
        <v>112</v>
      </c>
      <c r="J100" s="1"/>
      <c r="P100" s="207" t="s">
        <v>341</v>
      </c>
      <c r="Q100" s="207"/>
      <c r="U100" s="1" t="s">
        <v>8</v>
      </c>
      <c r="X100" s="218">
        <f>SUMIFS(X35:X93,G35:G93,$G$98,P35:P93,"SF 21-27 (taotletav raha)")</f>
        <v>0</v>
      </c>
      <c r="Y100" s="219">
        <f>SUMIFS(Y35:Y93,G35:G93,$G$98,P35:P93,"SF 21-27 (taotletav raha)")</f>
        <v>0</v>
      </c>
      <c r="Z100" s="220">
        <f>SUMIFS(Z35:Z93,G35:G93,$G$98,P35:P93,"SF 21-27 (taotletav raha)")</f>
        <v>0</v>
      </c>
      <c r="AA100" s="223">
        <f>SUMIFS(AA35:AA93,G35:G93,$G$98,P35:P93,"SF 21-27 (taotletav raha)")</f>
        <v>0</v>
      </c>
      <c r="AB100" s="221">
        <f>SUMIFS(AB35:AB93,G35:G93,$G$98,P35:P93,"SF 21-27 (taotletav raha)")</f>
        <v>0</v>
      </c>
      <c r="AC100" s="222">
        <f>SUMIFS(AC35:AC93,G35:G93,$G$98,P35:P93,"SF 21-27 (taotletav raha)")</f>
        <v>0</v>
      </c>
      <c r="AD100" s="223">
        <f>SUMIFS(AD35:AD93,G35:G93,$G$98,P35:P93,"SF 21-27 (taotletav raha)")</f>
        <v>0</v>
      </c>
      <c r="AE100" s="221">
        <f>SUMIFS(AE35:AE93,G35:G93,$G$98,P35:P93,"SF 21-27 (taotletav raha)")</f>
        <v>0</v>
      </c>
      <c r="AF100" s="222">
        <f>SUMIFS(AF35:AF93,G35:G93,$G$98,P35:P93,"SF 21-27 (taotletav raha)")</f>
        <v>0</v>
      </c>
      <c r="AQ100" s="1" t="s">
        <v>240</v>
      </c>
    </row>
    <row r="101" spans="5:43" ht="15.75" thickBot="1" x14ac:dyDescent="0.3">
      <c r="F101" s="207" t="s">
        <v>135</v>
      </c>
      <c r="J101" s="1"/>
      <c r="P101" s="207" t="s">
        <v>18</v>
      </c>
      <c r="Q101" s="207"/>
      <c r="U101" s="224" t="s">
        <v>337</v>
      </c>
      <c r="X101" s="216">
        <f>X100*1.2</f>
        <v>0</v>
      </c>
      <c r="Y101" s="115">
        <f>Y100</f>
        <v>0</v>
      </c>
      <c r="Z101" s="116">
        <f>Z100*1.2</f>
        <v>0</v>
      </c>
      <c r="AA101" s="216">
        <f>AA100*1.22</f>
        <v>0</v>
      </c>
      <c r="AB101" s="115">
        <f t="shared" ref="AB101" si="22">AB100</f>
        <v>0</v>
      </c>
      <c r="AC101" s="116">
        <f t="shared" ref="AC101" si="23">AC100*1.22</f>
        <v>0</v>
      </c>
      <c r="AD101" s="216">
        <f>AD100*1.22</f>
        <v>0</v>
      </c>
      <c r="AE101" s="115">
        <f t="shared" ref="AE101" si="24">AE100</f>
        <v>0</v>
      </c>
      <c r="AF101" s="116">
        <f t="shared" ref="AF101" si="25">AF100*1.22</f>
        <v>0</v>
      </c>
      <c r="AQ101" s="1" t="s">
        <v>272</v>
      </c>
    </row>
    <row r="102" spans="5:43" ht="15.75" thickBot="1" x14ac:dyDescent="0.3">
      <c r="F102" s="207" t="s">
        <v>231</v>
      </c>
      <c r="J102" s="1"/>
      <c r="P102" s="207" t="s">
        <v>342</v>
      </c>
      <c r="Q102" s="207"/>
      <c r="X102" s="225"/>
      <c r="Y102" s="225"/>
      <c r="Z102" s="225"/>
    </row>
    <row r="103" spans="5:43" x14ac:dyDescent="0.25">
      <c r="F103" s="207" t="s">
        <v>203</v>
      </c>
      <c r="J103" s="1"/>
      <c r="K103" s="225"/>
      <c r="L103" s="225"/>
      <c r="M103" s="225"/>
      <c r="P103" s="207" t="s">
        <v>129</v>
      </c>
      <c r="U103" s="1" t="s">
        <v>343</v>
      </c>
      <c r="X103" s="218">
        <f>SUMIFS(X35:X93,G35:G93,$G$99,P35:P93,"SF 21-27 (taotletav raha)")</f>
        <v>0</v>
      </c>
      <c r="Y103" s="219">
        <f>SUMIFS(Y35:Y93,G35:G93,$G$99,P35:P93,"SF 21-27 (taotletav raha)")</f>
        <v>0</v>
      </c>
      <c r="Z103" s="220">
        <f>SUMIFS(Z35:Z93,G35:G93,$G$99,P35:P93,"SF 21-27 (taotletav raha)")</f>
        <v>0</v>
      </c>
      <c r="AA103" s="223">
        <f>SUMIFS(AA35:AA93,G35:G93,$G$99,P35:P93,"SF 21-27 (taotletav raha)")</f>
        <v>0</v>
      </c>
      <c r="AB103" s="221">
        <f>SUMIFS(AB35:AB93,G35:G93,$G$99,P35:P93,"SF 21-27 (taotletav raha)")</f>
        <v>0</v>
      </c>
      <c r="AC103" s="222">
        <f>SUMIFS(AC35:AC93,G35:G93,$G$99,P35:P93,"SF 21-27 (taotletav raha)")</f>
        <v>0</v>
      </c>
      <c r="AD103" s="223">
        <f>SUMIFS(AD35:AD93,G35:G93,$G$99,P35:P93,"SF 21-27 (taotletav raha)")</f>
        <v>0</v>
      </c>
      <c r="AE103" s="221">
        <f>SUMIFS(AE35:AE93,G35:G93,$G$99,P35:P93,"SF 21-27 (taotletav raha)")</f>
        <v>0</v>
      </c>
      <c r="AF103" s="222">
        <f>SUMIFS(AF35:AF93,G35:G93,$G$99,P35:P93,"SF 21-27 (taotletav raha)")</f>
        <v>0</v>
      </c>
    </row>
    <row r="104" spans="5:43" ht="15.75" thickBot="1" x14ac:dyDescent="0.3">
      <c r="F104" s="207" t="s">
        <v>111</v>
      </c>
      <c r="J104" s="1"/>
      <c r="K104" s="225"/>
      <c r="L104" s="225"/>
      <c r="U104" s="224" t="s">
        <v>337</v>
      </c>
      <c r="X104" s="216">
        <f>X103*1.2</f>
        <v>0</v>
      </c>
      <c r="Y104" s="115">
        <f>Y103</f>
        <v>0</v>
      </c>
      <c r="Z104" s="116">
        <f>Z103*1.2</f>
        <v>0</v>
      </c>
      <c r="AA104" s="216">
        <f>AA103*1.22</f>
        <v>0</v>
      </c>
      <c r="AB104" s="115">
        <f t="shared" ref="AB104" si="26">AB103</f>
        <v>0</v>
      </c>
      <c r="AC104" s="116">
        <f t="shared" ref="AC104" si="27">AC103*1.22</f>
        <v>0</v>
      </c>
      <c r="AD104" s="216">
        <f>AD103*1.22</f>
        <v>0</v>
      </c>
      <c r="AE104" s="115">
        <f t="shared" ref="AE104" si="28">AE103</f>
        <v>0</v>
      </c>
      <c r="AF104" s="116">
        <f t="shared" ref="AF104" si="29">AF103*1.22</f>
        <v>0</v>
      </c>
    </row>
    <row r="105" spans="5:43" ht="15.75" thickBot="1" x14ac:dyDescent="0.3">
      <c r="F105" s="207" t="s">
        <v>186</v>
      </c>
      <c r="J105" s="1"/>
      <c r="K105" s="225"/>
      <c r="L105" s="225"/>
      <c r="X105" s="225"/>
      <c r="Y105" s="225"/>
      <c r="Z105" s="225"/>
    </row>
    <row r="106" spans="5:43" x14ac:dyDescent="0.25">
      <c r="F106" s="207" t="s">
        <v>344</v>
      </c>
      <c r="J106" s="1"/>
      <c r="K106" s="225"/>
      <c r="L106" s="225"/>
      <c r="U106" s="1" t="s">
        <v>10</v>
      </c>
      <c r="X106" s="218">
        <f>SUMIFS(X35:X93,G35:G93,$G$100,P35:P93,"SF 21-27 (taotletav raha)")</f>
        <v>0</v>
      </c>
      <c r="Y106" s="219">
        <f>SUMIFS(Y35:Y93,G35:G93,$G$100,P35:P93,"SF 21-27 (taotletav raha)")</f>
        <v>0</v>
      </c>
      <c r="Z106" s="220">
        <f>SUMIFS(Z35:Z93,G35:G93,$G$100,P35:P93,"SF 21-27 (taotletav raha)")</f>
        <v>166400</v>
      </c>
      <c r="AA106" s="223">
        <f>SUMIFS(AA35:AA93,G35:G93,$G$100,P35:P93,"SF 21-27 (taotletav raha)")</f>
        <v>2023813</v>
      </c>
      <c r="AB106" s="221">
        <f>SUMIFS(AB35:AB93,G35:G93,$G$100,P35:P93,"SF 21-27 (taotletav raha)")</f>
        <v>40000</v>
      </c>
      <c r="AC106" s="222">
        <f>SUMIFS(AC35:AC93,G35:G93,$G$100,P35:P93,"SF 21-27 (taotletav raha)")</f>
        <v>1036400</v>
      </c>
      <c r="AD106" s="223">
        <f>SUMIFS(AD35:AD93,G35:G93,$G$100,P35:P93,"SF 21-27 (taotletav raha)")</f>
        <v>250000</v>
      </c>
      <c r="AE106" s="221">
        <f>SUMIFS(AE35:AE93,G35:G93,$G$100,P35:P93,"SF 21-27 (taotletav raha)")</f>
        <v>60000</v>
      </c>
      <c r="AF106" s="222">
        <f>SUMIFS(AF35:AF93,G35:G93,$G$100,P35:P93,"SF 21-27 (taotletav raha)")</f>
        <v>817000</v>
      </c>
    </row>
    <row r="107" spans="5:43" ht="15.75" thickBot="1" x14ac:dyDescent="0.3">
      <c r="F107" s="207" t="s">
        <v>345</v>
      </c>
      <c r="J107" s="1"/>
      <c r="U107" s="224" t="s">
        <v>337</v>
      </c>
      <c r="X107" s="216">
        <f>X106*1.2</f>
        <v>0</v>
      </c>
      <c r="Y107" s="115">
        <f>Y106</f>
        <v>0</v>
      </c>
      <c r="Z107" s="116">
        <f>Z106*1.2</f>
        <v>199680</v>
      </c>
      <c r="AA107" s="216">
        <f>AA106*1.22</f>
        <v>2469051.86</v>
      </c>
      <c r="AB107" s="115">
        <f t="shared" ref="AB107" si="30">AB106</f>
        <v>40000</v>
      </c>
      <c r="AC107" s="116">
        <f t="shared" ref="AC107" si="31">AC106*1.22</f>
        <v>1264408</v>
      </c>
      <c r="AD107" s="216">
        <f>AD106*1.22</f>
        <v>305000</v>
      </c>
      <c r="AE107" s="115">
        <f t="shared" ref="AE107" si="32">AE106</f>
        <v>60000</v>
      </c>
      <c r="AF107" s="116">
        <f t="shared" ref="AF107" si="33">AF106*1.22</f>
        <v>996740</v>
      </c>
    </row>
    <row r="108" spans="5:43" x14ac:dyDescent="0.25">
      <c r="F108" s="207" t="s">
        <v>346</v>
      </c>
      <c r="J108" s="1"/>
      <c r="K108" s="225"/>
      <c r="L108" s="225"/>
    </row>
    <row r="109" spans="5:43" x14ac:dyDescent="0.25">
      <c r="F109" s="207" t="s">
        <v>347</v>
      </c>
      <c r="J109" s="1"/>
      <c r="K109" s="225"/>
      <c r="L109" s="225"/>
    </row>
    <row r="110" spans="5:43" x14ac:dyDescent="0.25">
      <c r="F110" s="207" t="s">
        <v>348</v>
      </c>
      <c r="J110" s="1"/>
      <c r="K110" s="225"/>
      <c r="L110" s="225"/>
    </row>
    <row r="111" spans="5:43" ht="15.75" thickBot="1" x14ac:dyDescent="0.3">
      <c r="F111" s="207" t="s">
        <v>349</v>
      </c>
      <c r="J111" s="1"/>
      <c r="K111" s="225"/>
      <c r="L111" s="225"/>
      <c r="U111" s="217" t="s">
        <v>350</v>
      </c>
    </row>
    <row r="112" spans="5:43" x14ac:dyDescent="0.25">
      <c r="F112" s="207" t="s">
        <v>196</v>
      </c>
      <c r="J112" s="1"/>
      <c r="K112" s="225"/>
      <c r="L112" s="225"/>
      <c r="U112" s="1" t="s">
        <v>7</v>
      </c>
      <c r="X112" s="218">
        <f t="shared" ref="X112:AF112" si="34">SUMIFS(X$35:X$93, $G$35:$G$93, $G$97, $P$35:$P$93, "Baaseelarve")+SUMIFS(X$35:X$93, $G$35:$G$93, $G$97, $P$35:$P$93, "Muu rahastus")+SUMIFS(X$35:X$93, $G$35:$G$93, $G$97, $P$35:$P$93, "Reserv (SR)")+SUMIFS(X$35:X$93, $G$35:$G$93, $G$97, $P$35:$P$93, "RRF")+SUMIFS(X$35:X$93, $G$35:$G$93, $G$97, $P$35:$P$93, "SF 14-20 (töös olev projekt)")</f>
        <v>0</v>
      </c>
      <c r="Y112" s="219">
        <f t="shared" si="34"/>
        <v>112672</v>
      </c>
      <c r="Z112" s="467">
        <f t="shared" si="34"/>
        <v>611767.80000000005</v>
      </c>
      <c r="AA112" s="218">
        <f t="shared" si="34"/>
        <v>520200</v>
      </c>
      <c r="AB112" s="219">
        <f t="shared" si="34"/>
        <v>0</v>
      </c>
      <c r="AC112" s="220">
        <f t="shared" si="34"/>
        <v>459636.8</v>
      </c>
      <c r="AD112" s="469">
        <f t="shared" si="34"/>
        <v>265200</v>
      </c>
      <c r="AE112" s="219">
        <f t="shared" si="34"/>
        <v>0</v>
      </c>
      <c r="AF112" s="220">
        <f t="shared" si="34"/>
        <v>557864.80000000005</v>
      </c>
    </row>
    <row r="113" spans="6:32" ht="15.75" thickBot="1" x14ac:dyDescent="0.3">
      <c r="F113" s="207" t="s">
        <v>180</v>
      </c>
      <c r="J113" s="1"/>
      <c r="K113" s="225"/>
      <c r="L113" s="225"/>
      <c r="U113" s="224" t="s">
        <v>337</v>
      </c>
      <c r="X113" s="216">
        <f>X112*1.2</f>
        <v>0</v>
      </c>
      <c r="Y113" s="115">
        <f>Y112</f>
        <v>112672</v>
      </c>
      <c r="Z113" s="468">
        <f>Z112*1.2</f>
        <v>734121.36</v>
      </c>
      <c r="AA113" s="216">
        <f>AA112*1.22</f>
        <v>634644</v>
      </c>
      <c r="AB113" s="115">
        <f t="shared" ref="AB113" si="35">AB112</f>
        <v>0</v>
      </c>
      <c r="AC113" s="116">
        <f t="shared" ref="AC113" si="36">AC112*1.22</f>
        <v>560756.89599999995</v>
      </c>
      <c r="AD113" s="470">
        <f>AD112*1.22</f>
        <v>323544</v>
      </c>
      <c r="AE113" s="115">
        <f t="shared" ref="AE113" si="37">AE112</f>
        <v>0</v>
      </c>
      <c r="AF113" s="116">
        <f t="shared" ref="AF113" si="38">AF112*1.22</f>
        <v>680595.0560000001</v>
      </c>
    </row>
    <row r="114" spans="6:32" ht="15.75" thickBot="1" x14ac:dyDescent="0.3">
      <c r="F114" s="207" t="s">
        <v>351</v>
      </c>
      <c r="J114" s="1"/>
      <c r="K114" s="225"/>
      <c r="L114" s="225"/>
      <c r="X114" s="225"/>
      <c r="Y114" s="225"/>
      <c r="Z114" s="225"/>
      <c r="AA114" s="225"/>
      <c r="AB114" s="225"/>
      <c r="AC114" s="225"/>
      <c r="AD114" s="225"/>
      <c r="AE114" s="225"/>
      <c r="AF114" s="225"/>
    </row>
    <row r="115" spans="6:32" x14ac:dyDescent="0.25">
      <c r="F115" s="207" t="s">
        <v>352</v>
      </c>
      <c r="J115" s="1"/>
      <c r="U115" s="1" t="s">
        <v>8</v>
      </c>
      <c r="X115" s="218">
        <f t="shared" ref="X115:AF115" si="39">SUMIFS(X$35:X$93, $G$35:$G$93, $G$98, $P$35:$P$93, "Baaseelarve")+SUMIFS(X$35:X$93, $G$35:$G$93, $G$98, $P$35:$P$93, "Muu rahastus")+SUMIFS(X$35:X$93, $G$35:$G$93, $G$98, $P$35:$P$93, "Reserv (SR)")+SUMIFS(X$35:X$93, $G$35:$G$93, $G$98, $P$35:$P$93, "RRF")+SUMIFS(X$35:X$93, $G$35:$G$93, $G$98, $P$35:$P$93, "SF 14-20 (töös olev projekt)")</f>
        <v>0</v>
      </c>
      <c r="Y115" s="219">
        <f t="shared" si="39"/>
        <v>0</v>
      </c>
      <c r="Z115" s="467">
        <f t="shared" si="39"/>
        <v>0</v>
      </c>
      <c r="AA115" s="218">
        <f t="shared" si="39"/>
        <v>0</v>
      </c>
      <c r="AB115" s="219">
        <f t="shared" si="39"/>
        <v>0</v>
      </c>
      <c r="AC115" s="220">
        <f t="shared" si="39"/>
        <v>300000</v>
      </c>
      <c r="AD115" s="469">
        <f t="shared" si="39"/>
        <v>0</v>
      </c>
      <c r="AE115" s="219">
        <f t="shared" si="39"/>
        <v>70700</v>
      </c>
      <c r="AF115" s="220">
        <f t="shared" si="39"/>
        <v>190400</v>
      </c>
    </row>
    <row r="116" spans="6:32" ht="15.75" thickBot="1" x14ac:dyDescent="0.3">
      <c r="I116" s="3"/>
      <c r="J116" s="1"/>
      <c r="U116" s="224" t="s">
        <v>337</v>
      </c>
      <c r="X116" s="216">
        <f>X115*1.2</f>
        <v>0</v>
      </c>
      <c r="Y116" s="115">
        <f>Y115</f>
        <v>0</v>
      </c>
      <c r="Z116" s="468">
        <f>Z115*1.2</f>
        <v>0</v>
      </c>
      <c r="AA116" s="216">
        <f>AA115*1.22</f>
        <v>0</v>
      </c>
      <c r="AB116" s="115">
        <f t="shared" ref="AB116" si="40">AB115</f>
        <v>0</v>
      </c>
      <c r="AC116" s="116">
        <f t="shared" ref="AC116" si="41">AC115*1.22</f>
        <v>366000</v>
      </c>
      <c r="AD116" s="470">
        <f>AD115*1.22</f>
        <v>0</v>
      </c>
      <c r="AE116" s="115">
        <f t="shared" ref="AE116" si="42">AE115</f>
        <v>70700</v>
      </c>
      <c r="AF116" s="116">
        <f t="shared" ref="AF116" si="43">AF115*1.22</f>
        <v>232288</v>
      </c>
    </row>
    <row r="117" spans="6:32" ht="15.75" thickBot="1" x14ac:dyDescent="0.3">
      <c r="H117" s="3"/>
      <c r="J117" s="1"/>
      <c r="X117" s="225"/>
      <c r="Y117" s="225"/>
      <c r="Z117" s="225"/>
      <c r="AA117" s="225"/>
      <c r="AB117" s="225"/>
      <c r="AC117" s="225"/>
      <c r="AD117" s="225"/>
      <c r="AE117" s="225"/>
      <c r="AF117" s="225"/>
    </row>
    <row r="118" spans="6:32" x14ac:dyDescent="0.25">
      <c r="U118" s="1" t="s">
        <v>343</v>
      </c>
      <c r="X118" s="218">
        <f t="shared" ref="X118:AF118" si="44">SUMIFS(X$35:X$93, $G$35:$G$93, $G$99, $P$35:$P$93, "Baaseelarve")+SUMIFS(X$35:X$93, $G$35:$G$93, $G$99, $P$35:$P$93, "Muu rahastus")+SUMIFS(X$35:X$93, $G$35:$G$93, $G$99, $P$35:$P$93, "Reserv (SR)")+SUMIFS(X$35:X$93, $G$35:$G$93, $G$99, $P$35:$P$93, "RRF")+SUMIFS(X$35:X$93, $G$35:$G$93, $G$99, $P$35:$P$93, "SF 14-20 (töös olev projekt)")</f>
        <v>0</v>
      </c>
      <c r="Y118" s="219">
        <f t="shared" si="44"/>
        <v>0</v>
      </c>
      <c r="Z118" s="467">
        <f t="shared" si="44"/>
        <v>0</v>
      </c>
      <c r="AA118" s="218">
        <f t="shared" si="44"/>
        <v>0</v>
      </c>
      <c r="AB118" s="219">
        <f t="shared" si="44"/>
        <v>0</v>
      </c>
      <c r="AC118" s="220">
        <f t="shared" si="44"/>
        <v>0</v>
      </c>
      <c r="AD118" s="469">
        <f t="shared" si="44"/>
        <v>0</v>
      </c>
      <c r="AE118" s="219">
        <f t="shared" si="44"/>
        <v>0</v>
      </c>
      <c r="AF118" s="220">
        <f t="shared" si="44"/>
        <v>0</v>
      </c>
    </row>
    <row r="119" spans="6:32" ht="15.75" thickBot="1" x14ac:dyDescent="0.3">
      <c r="U119" s="224" t="s">
        <v>337</v>
      </c>
      <c r="X119" s="216">
        <f>X118*1.2</f>
        <v>0</v>
      </c>
      <c r="Y119" s="115">
        <f>Y118</f>
        <v>0</v>
      </c>
      <c r="Z119" s="468">
        <f>Z118*1.2</f>
        <v>0</v>
      </c>
      <c r="AA119" s="216">
        <f>AA118*1.22</f>
        <v>0</v>
      </c>
      <c r="AB119" s="115">
        <f t="shared" ref="AB119" si="45">AB118</f>
        <v>0</v>
      </c>
      <c r="AC119" s="116">
        <f t="shared" ref="AC119" si="46">AC118*1.22</f>
        <v>0</v>
      </c>
      <c r="AD119" s="470">
        <f>AD118*1.22</f>
        <v>0</v>
      </c>
      <c r="AE119" s="115">
        <f t="shared" ref="AE119" si="47">AE118</f>
        <v>0</v>
      </c>
      <c r="AF119" s="116">
        <f t="shared" ref="AF119" si="48">AF118*1.22</f>
        <v>0</v>
      </c>
    </row>
    <row r="120" spans="6:32" ht="15.75" thickBot="1" x14ac:dyDescent="0.3">
      <c r="X120" s="225"/>
      <c r="Y120" s="225"/>
      <c r="Z120" s="225"/>
      <c r="AA120" s="225"/>
      <c r="AB120" s="225"/>
      <c r="AC120" s="225"/>
      <c r="AD120" s="225"/>
      <c r="AE120" s="225"/>
      <c r="AF120" s="225"/>
    </row>
    <row r="121" spans="6:32" x14ac:dyDescent="0.25">
      <c r="U121" s="1" t="s">
        <v>10</v>
      </c>
      <c r="X121" s="218">
        <f t="shared" ref="X121:AF121" si="49">SUMIFS(X$35:X$93, $G$35:$G$93, $G$100, $P$35:$P$93, "Baaseelarve")+SUMIFS(X$35:X$93, $G$35:$G$93, $G$100, $P$35:$P$93, "Muu rahastus")+SUMIFS(X$35:X$93, $G$35:$G$93, $G$100, $P$35:$P$93, "Reserv (SR)")+SUMIFS(X$35:X$93, $G$35:$G$93, $G$100, $P$35:$P$93, "RRF")+SUMIFS(X$35:X$93, $G$35:$G$93, $G$100, $P$35:$P$93, "SF 14-20 (töös olev projekt)")</f>
        <v>0</v>
      </c>
      <c r="Y121" s="219">
        <f t="shared" si="49"/>
        <v>0</v>
      </c>
      <c r="Z121" s="467">
        <f t="shared" si="49"/>
        <v>0</v>
      </c>
      <c r="AA121" s="218">
        <f t="shared" si="49"/>
        <v>0</v>
      </c>
      <c r="AB121" s="219">
        <f t="shared" si="49"/>
        <v>0</v>
      </c>
      <c r="AC121" s="220">
        <f t="shared" si="49"/>
        <v>100000</v>
      </c>
      <c r="AD121" s="469">
        <f t="shared" si="49"/>
        <v>0</v>
      </c>
      <c r="AE121" s="219">
        <f t="shared" si="49"/>
        <v>0</v>
      </c>
      <c r="AF121" s="220">
        <f t="shared" si="49"/>
        <v>0</v>
      </c>
    </row>
    <row r="122" spans="6:32" ht="15.75" thickBot="1" x14ac:dyDescent="0.3">
      <c r="U122" s="224" t="s">
        <v>337</v>
      </c>
      <c r="X122" s="216">
        <f>X121*1.2</f>
        <v>0</v>
      </c>
      <c r="Y122" s="115">
        <f>Y121</f>
        <v>0</v>
      </c>
      <c r="Z122" s="468">
        <f>Z121*1.2</f>
        <v>0</v>
      </c>
      <c r="AA122" s="216">
        <f>AA121*1.22</f>
        <v>0</v>
      </c>
      <c r="AB122" s="115">
        <f t="shared" ref="AB122" si="50">AB121</f>
        <v>0</v>
      </c>
      <c r="AC122" s="116">
        <f t="shared" ref="AC122" si="51">AC121*1.22</f>
        <v>122000</v>
      </c>
      <c r="AD122" s="470">
        <f>AD121*1.22</f>
        <v>0</v>
      </c>
      <c r="AE122" s="115">
        <f t="shared" ref="AE122" si="52">AE121</f>
        <v>0</v>
      </c>
      <c r="AF122" s="116">
        <f t="shared" ref="AF122" si="53">AF121*1.22</f>
        <v>0</v>
      </c>
    </row>
    <row r="123" spans="6:32" x14ac:dyDescent="0.25">
      <c r="X123" s="225"/>
      <c r="Y123" s="225"/>
      <c r="Z123" s="225"/>
      <c r="AA123" s="225"/>
      <c r="AB123" s="225"/>
      <c r="AC123" s="225"/>
      <c r="AD123" s="225"/>
      <c r="AE123" s="225"/>
      <c r="AF123" s="225"/>
    </row>
    <row r="124" spans="6:32" x14ac:dyDescent="0.25">
      <c r="X124" s="225"/>
      <c r="Y124" s="225"/>
      <c r="Z124" s="225"/>
      <c r="AA124" s="225"/>
      <c r="AB124" s="225"/>
      <c r="AC124" s="225"/>
      <c r="AD124" s="225"/>
      <c r="AE124" s="225"/>
      <c r="AF124" s="225"/>
    </row>
    <row r="125" spans="6:32" x14ac:dyDescent="0.25">
      <c r="X125" s="225"/>
      <c r="Y125" s="225"/>
      <c r="Z125" s="225"/>
      <c r="AA125" s="225"/>
      <c r="AB125" s="225"/>
      <c r="AC125" s="225"/>
      <c r="AD125" s="225"/>
      <c r="AE125" s="225"/>
      <c r="AF125" s="225"/>
    </row>
    <row r="126" spans="6:32" ht="15.75" thickBot="1" x14ac:dyDescent="0.3">
      <c r="U126" s="217" t="s">
        <v>338</v>
      </c>
    </row>
    <row r="127" spans="6:32" x14ac:dyDescent="0.25">
      <c r="U127" s="1" t="s">
        <v>7</v>
      </c>
      <c r="X127" s="218">
        <f t="shared" ref="X127:AF127" si="54">SUMIFS(X$35:X$93,$G$35:$G$93,$G$97,$P$35:$P$93,$P$99)</f>
        <v>0</v>
      </c>
      <c r="Y127" s="219">
        <f t="shared" si="54"/>
        <v>0</v>
      </c>
      <c r="Z127" s="467">
        <f t="shared" si="54"/>
        <v>0</v>
      </c>
      <c r="AA127" s="218">
        <f t="shared" si="54"/>
        <v>0</v>
      </c>
      <c r="AB127" s="219">
        <f t="shared" si="54"/>
        <v>0</v>
      </c>
      <c r="AC127" s="220">
        <f t="shared" si="54"/>
        <v>0</v>
      </c>
      <c r="AD127" s="469">
        <f t="shared" si="54"/>
        <v>0</v>
      </c>
      <c r="AE127" s="219">
        <f t="shared" si="54"/>
        <v>0</v>
      </c>
      <c r="AF127" s="220">
        <f t="shared" si="54"/>
        <v>0</v>
      </c>
    </row>
    <row r="128" spans="6:32" ht="15.75" thickBot="1" x14ac:dyDescent="0.3">
      <c r="U128" s="224" t="s">
        <v>337</v>
      </c>
      <c r="X128" s="216">
        <f>X127*1.2</f>
        <v>0</v>
      </c>
      <c r="Y128" s="115">
        <f>Y127</f>
        <v>0</v>
      </c>
      <c r="Z128" s="468">
        <f>Z127*1.2</f>
        <v>0</v>
      </c>
      <c r="AA128" s="216">
        <f>AA127*1.22</f>
        <v>0</v>
      </c>
      <c r="AB128" s="115">
        <f t="shared" ref="AB128" si="55">AB127</f>
        <v>0</v>
      </c>
      <c r="AC128" s="116">
        <f t="shared" ref="AC128" si="56">AC127*1.22</f>
        <v>0</v>
      </c>
      <c r="AD128" s="470">
        <f>AD127*1.22</f>
        <v>0</v>
      </c>
      <c r="AE128" s="115">
        <f t="shared" ref="AE128" si="57">AE127</f>
        <v>0</v>
      </c>
      <c r="AF128" s="116">
        <f t="shared" ref="AF128" si="58">AF127*1.22</f>
        <v>0</v>
      </c>
    </row>
    <row r="129" spans="21:32" ht="15.75" thickBot="1" x14ac:dyDescent="0.3">
      <c r="X129" s="225"/>
      <c r="Y129" s="225"/>
      <c r="Z129" s="225"/>
      <c r="AA129" s="225"/>
      <c r="AB129" s="225"/>
      <c r="AC129" s="225"/>
      <c r="AD129" s="225"/>
      <c r="AE129" s="225"/>
      <c r="AF129" s="225"/>
    </row>
    <row r="130" spans="21:32" x14ac:dyDescent="0.25">
      <c r="U130" s="1" t="s">
        <v>8</v>
      </c>
      <c r="X130" s="218">
        <f t="shared" ref="X130:AF130" si="59">SUMIFS(X$35:X$93,$G$35:$G$93,$G$98,$P$35:$P$93,$P$99)</f>
        <v>0</v>
      </c>
      <c r="Y130" s="219">
        <f t="shared" si="59"/>
        <v>0</v>
      </c>
      <c r="Z130" s="467">
        <f t="shared" si="59"/>
        <v>0</v>
      </c>
      <c r="AA130" s="218">
        <f t="shared" si="59"/>
        <v>0</v>
      </c>
      <c r="AB130" s="219">
        <f t="shared" si="59"/>
        <v>0</v>
      </c>
      <c r="AC130" s="220">
        <f t="shared" si="59"/>
        <v>0</v>
      </c>
      <c r="AD130" s="469">
        <f t="shared" si="59"/>
        <v>0</v>
      </c>
      <c r="AE130" s="219">
        <f t="shared" si="59"/>
        <v>0</v>
      </c>
      <c r="AF130" s="220">
        <f t="shared" si="59"/>
        <v>0</v>
      </c>
    </row>
    <row r="131" spans="21:32" ht="15.75" thickBot="1" x14ac:dyDescent="0.3">
      <c r="U131" s="224" t="s">
        <v>337</v>
      </c>
      <c r="X131" s="216">
        <f>X130*1.2</f>
        <v>0</v>
      </c>
      <c r="Y131" s="115">
        <f>Y130</f>
        <v>0</v>
      </c>
      <c r="Z131" s="468">
        <f>Z130*1.2</f>
        <v>0</v>
      </c>
      <c r="AA131" s="216">
        <f>AA130*1.22</f>
        <v>0</v>
      </c>
      <c r="AB131" s="115">
        <f t="shared" ref="AB131" si="60">AB130</f>
        <v>0</v>
      </c>
      <c r="AC131" s="116">
        <f t="shared" ref="AC131" si="61">AC130*1.22</f>
        <v>0</v>
      </c>
      <c r="AD131" s="470">
        <f>AD130*1.22</f>
        <v>0</v>
      </c>
      <c r="AE131" s="115">
        <f t="shared" ref="AE131" si="62">AE130</f>
        <v>0</v>
      </c>
      <c r="AF131" s="116">
        <f t="shared" ref="AF131" si="63">AF130*1.22</f>
        <v>0</v>
      </c>
    </row>
    <row r="132" spans="21:32" ht="15.75" thickBot="1" x14ac:dyDescent="0.3">
      <c r="X132" s="225"/>
      <c r="Y132" s="225"/>
      <c r="Z132" s="225"/>
      <c r="AA132" s="225"/>
      <c r="AB132" s="225"/>
      <c r="AC132" s="225"/>
      <c r="AD132" s="225"/>
      <c r="AE132" s="225"/>
      <c r="AF132" s="225"/>
    </row>
    <row r="133" spans="21:32" x14ac:dyDescent="0.25">
      <c r="U133" s="1" t="s">
        <v>343</v>
      </c>
      <c r="X133" s="218">
        <f t="shared" ref="X133:AF133" si="64">SUMIFS(X$35:X$93,$G$35:$G$93,$G$99,$P$35:$P$93,$P$99)</f>
        <v>0</v>
      </c>
      <c r="Y133" s="219">
        <f t="shared" si="64"/>
        <v>0</v>
      </c>
      <c r="Z133" s="467">
        <f t="shared" si="64"/>
        <v>0</v>
      </c>
      <c r="AA133" s="218">
        <f t="shared" si="64"/>
        <v>0</v>
      </c>
      <c r="AB133" s="219">
        <f t="shared" si="64"/>
        <v>0</v>
      </c>
      <c r="AC133" s="220">
        <f t="shared" si="64"/>
        <v>0</v>
      </c>
      <c r="AD133" s="469">
        <f t="shared" si="64"/>
        <v>0</v>
      </c>
      <c r="AE133" s="219">
        <f t="shared" si="64"/>
        <v>0</v>
      </c>
      <c r="AF133" s="220">
        <f t="shared" si="64"/>
        <v>0</v>
      </c>
    </row>
    <row r="134" spans="21:32" ht="15.75" thickBot="1" x14ac:dyDescent="0.3">
      <c r="U134" s="224" t="s">
        <v>337</v>
      </c>
      <c r="X134" s="216">
        <f>X133*1.2</f>
        <v>0</v>
      </c>
      <c r="Y134" s="115">
        <f>Y133</f>
        <v>0</v>
      </c>
      <c r="Z134" s="468">
        <f>Z133*1.2</f>
        <v>0</v>
      </c>
      <c r="AA134" s="216">
        <f>AA133*1.22</f>
        <v>0</v>
      </c>
      <c r="AB134" s="115">
        <f t="shared" ref="AB134" si="65">AB133</f>
        <v>0</v>
      </c>
      <c r="AC134" s="116">
        <f t="shared" ref="AC134" si="66">AC133*1.22</f>
        <v>0</v>
      </c>
      <c r="AD134" s="470">
        <f>AD133*1.22</f>
        <v>0</v>
      </c>
      <c r="AE134" s="115">
        <f t="shared" ref="AE134" si="67">AE133</f>
        <v>0</v>
      </c>
      <c r="AF134" s="116">
        <f t="shared" ref="AF134" si="68">AF133*1.22</f>
        <v>0</v>
      </c>
    </row>
    <row r="135" spans="21:32" ht="15.75" thickBot="1" x14ac:dyDescent="0.3">
      <c r="X135" s="225"/>
      <c r="Y135" s="225"/>
      <c r="Z135" s="225"/>
      <c r="AA135" s="225"/>
      <c r="AB135" s="225"/>
      <c r="AC135" s="225"/>
      <c r="AD135" s="225"/>
      <c r="AE135" s="225"/>
      <c r="AF135" s="225"/>
    </row>
    <row r="136" spans="21:32" x14ac:dyDescent="0.25">
      <c r="U136" s="1" t="s">
        <v>10</v>
      </c>
      <c r="X136" s="218">
        <f t="shared" ref="X136:AF136" si="69">SUMIFS(X$35:X$93,$G$35:$G$93,$G$100,$P$35:$P$93,$P$99)</f>
        <v>0</v>
      </c>
      <c r="Y136" s="219">
        <f t="shared" si="69"/>
        <v>0</v>
      </c>
      <c r="Z136" s="467">
        <f t="shared" si="69"/>
        <v>0</v>
      </c>
      <c r="AA136" s="218">
        <f t="shared" si="69"/>
        <v>0</v>
      </c>
      <c r="AB136" s="219">
        <f t="shared" si="69"/>
        <v>0</v>
      </c>
      <c r="AC136" s="220">
        <f t="shared" si="69"/>
        <v>0</v>
      </c>
      <c r="AD136" s="469">
        <f t="shared" si="69"/>
        <v>0</v>
      </c>
      <c r="AE136" s="219">
        <f t="shared" si="69"/>
        <v>0</v>
      </c>
      <c r="AF136" s="220">
        <f t="shared" si="69"/>
        <v>0</v>
      </c>
    </row>
    <row r="137" spans="21:32" ht="15.75" thickBot="1" x14ac:dyDescent="0.3">
      <c r="U137" s="224" t="s">
        <v>337</v>
      </c>
      <c r="X137" s="216">
        <f>X136*1.2</f>
        <v>0</v>
      </c>
      <c r="Y137" s="115">
        <f>Y136</f>
        <v>0</v>
      </c>
      <c r="Z137" s="468">
        <f>Z136*1.2</f>
        <v>0</v>
      </c>
      <c r="AA137" s="216">
        <f>AA136*1.22</f>
        <v>0</v>
      </c>
      <c r="AB137" s="115">
        <f t="shared" ref="AB137" si="70">AB136</f>
        <v>0</v>
      </c>
      <c r="AC137" s="116">
        <f t="shared" ref="AC137" si="71">AC136*1.22</f>
        <v>0</v>
      </c>
      <c r="AD137" s="470">
        <f>AD136*1.22</f>
        <v>0</v>
      </c>
      <c r="AE137" s="115">
        <f t="shared" ref="AE137" si="72">AE136</f>
        <v>0</v>
      </c>
      <c r="AF137" s="116">
        <f t="shared" ref="AF137" si="73">AF136*1.22</f>
        <v>0</v>
      </c>
    </row>
  </sheetData>
  <sheetProtection algorithmName="SHA-512" hashValue="vGo8+4zbx2hPQjBZQLrw8F/94V3KccHCBmwS0EXh7GxAZkub1P3+P4tFlExe/2LXrcVQC7fbnc9VyOK65GPp+w==" saltValue="AjIh2AEwhxoTUJhj4fENlg==" spinCount="100000" sheet="1" sort="0" autoFilter="0"/>
  <autoFilter ref="A33:AR95" xr:uid="{26F4B7B0-4764-496D-9313-E7C884B0D6FB}">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autoFilter>
  <mergeCells count="22">
    <mergeCell ref="X32:AO32"/>
    <mergeCell ref="B17:I17"/>
    <mergeCell ref="B20:I20"/>
    <mergeCell ref="B26:I26"/>
    <mergeCell ref="B23:I23"/>
    <mergeCell ref="K20:R20"/>
    <mergeCell ref="K23:R23"/>
    <mergeCell ref="K17:R17"/>
    <mergeCell ref="AM33:AO33"/>
    <mergeCell ref="X33:Z33"/>
    <mergeCell ref="AA33:AC33"/>
    <mergeCell ref="AD33:AF33"/>
    <mergeCell ref="AG33:AI33"/>
    <mergeCell ref="AJ33:AL33"/>
    <mergeCell ref="B2:E2"/>
    <mergeCell ref="G2:K2"/>
    <mergeCell ref="R34:W34"/>
    <mergeCell ref="K26:R26"/>
    <mergeCell ref="K19:R19"/>
    <mergeCell ref="K22:R22"/>
    <mergeCell ref="K25:R25"/>
    <mergeCell ref="K28:R28"/>
  </mergeCells>
  <phoneticPr fontId="7" type="noConversion"/>
  <dataValidations count="9">
    <dataValidation type="list" allowBlank="1" showInputMessage="1" showErrorMessage="1" sqref="P118:P150 N117 O116 P31:P32" xr:uid="{258C40CF-7ED3-46AD-9DBE-9E35B6A83AF2}">
      <formula1>$R$19:$R$22</formula1>
    </dataValidation>
    <dataValidation type="list" allowBlank="1" showInputMessage="1" showErrorMessage="1" sqref="F117:F151 F31:F32" xr:uid="{6788E54C-2BD5-4096-85C2-888BADA7E1F2}">
      <formula1>$H$3:$K$3</formula1>
    </dataValidation>
    <dataValidation type="list" allowBlank="1" showInputMessage="1" showErrorMessage="1" sqref="P35:P94" xr:uid="{D3E718C6-7AB1-4871-9C15-0A5014791696}">
      <formula1>$P$97:$P$103</formula1>
    </dataValidation>
    <dataValidation type="list" allowBlank="1" showInputMessage="1" showErrorMessage="1" sqref="E82:E94" xr:uid="{4537B685-D58B-48A6-A09A-6E7B0652C7B9}">
      <formula1>$E$97:$E$99</formula1>
    </dataValidation>
    <dataValidation type="list" allowBlank="1" showInputMessage="1" showErrorMessage="1" sqref="F82:F94 E35:E81" xr:uid="{EA197172-5E41-4726-AB9F-2F1BADFCFFAC}">
      <formula1>$F$97:$F$115</formula1>
    </dataValidation>
    <dataValidation type="list" allowBlank="1" showInputMessage="1" showErrorMessage="1" sqref="F35:F81 G35:G94" xr:uid="{58A20634-86BF-47AA-9970-DA930862660F}">
      <formula1>$G$97:$G$100</formula1>
    </dataValidation>
    <dataValidation type="list" allowBlank="1" showInputMessage="1" showErrorMessage="1" sqref="AQ35:AQ94" xr:uid="{63C0EE7F-3A35-4E09-8468-E4CA0CE5603D}">
      <formula1>$AQ$97:$AQ$101</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17"/>
  <sheetViews>
    <sheetView topLeftCell="A31" zoomScale="70" zoomScaleNormal="70" workbookViewId="0">
      <pane ySplit="4" topLeftCell="A57" activePane="bottomLeft" state="frozen"/>
      <selection pane="bottomLeft" activeCell="AR77" sqref="AR77"/>
    </sheetView>
  </sheetViews>
  <sheetFormatPr defaultRowHeight="15" customHeight="1" x14ac:dyDescent="0.25"/>
  <cols>
    <col min="1" max="1" width="21.28515625" customWidth="1"/>
    <col min="2" max="2" width="15" customWidth="1"/>
    <col min="3" max="3" width="13.7109375" customWidth="1"/>
    <col min="4" max="4" width="14.140625" customWidth="1"/>
    <col min="5" max="5" width="16.7109375" customWidth="1"/>
    <col min="6" max="6" width="18.5703125" customWidth="1"/>
    <col min="7" max="7" width="14.140625" customWidth="1"/>
    <col min="8" max="8" width="11.7109375" customWidth="1"/>
    <col min="9" max="9" width="20.28515625" customWidth="1"/>
    <col min="10" max="10" width="25.28515625" style="3" customWidth="1"/>
    <col min="11" max="11" width="42" customWidth="1"/>
    <col min="12" max="12" width="12" hidden="1" customWidth="1"/>
    <col min="13" max="13" width="14.28515625" hidden="1" customWidth="1"/>
    <col min="14" max="14" width="12.28515625" customWidth="1"/>
    <col min="16" max="16" width="14.85546875" bestFit="1" customWidth="1"/>
    <col min="17" max="17" width="9.140625" customWidth="1"/>
    <col min="18" max="21" width="13.140625" customWidth="1"/>
    <col min="22" max="24" width="9.140625" customWidth="1"/>
    <col min="25" max="25" width="11" bestFit="1" customWidth="1"/>
    <col min="26" max="36" width="10.140625" customWidth="1"/>
    <col min="37" max="37" width="40.28515625" customWidth="1"/>
    <col min="38" max="38" width="37" customWidth="1"/>
    <col min="39" max="39" width="60.7109375" customWidth="1"/>
    <col min="40" max="40" width="9.140625" customWidth="1"/>
    <col min="41" max="42" width="10.140625" bestFit="1" customWidth="1"/>
    <col min="43" max="43" width="10.7109375" customWidth="1"/>
    <col min="44" max="44" width="73.5703125" customWidth="1"/>
  </cols>
  <sheetData>
    <row r="1" spans="1:11" x14ac:dyDescent="0.25">
      <c r="A1" s="5" t="s">
        <v>353</v>
      </c>
      <c r="B1" s="169"/>
      <c r="C1" s="170"/>
      <c r="D1" s="170"/>
      <c r="E1" s="8"/>
      <c r="F1" s="319"/>
      <c r="G1" s="319"/>
      <c r="H1" s="319"/>
      <c r="I1" s="8"/>
    </row>
    <row r="2" spans="1:11" ht="30.75" customHeight="1" x14ac:dyDescent="0.25">
      <c r="A2" s="7" t="s">
        <v>1</v>
      </c>
      <c r="B2" s="600" t="s">
        <v>2</v>
      </c>
      <c r="C2" s="600"/>
      <c r="D2" s="600"/>
      <c r="E2" s="8"/>
      <c r="F2" s="8"/>
      <c r="G2" s="8"/>
      <c r="H2" s="8"/>
      <c r="I2" s="8"/>
      <c r="J2" s="4"/>
    </row>
    <row r="3" spans="1:11" x14ac:dyDescent="0.25">
      <c r="A3" s="11" t="s">
        <v>4</v>
      </c>
      <c r="B3" s="12" t="s">
        <v>354</v>
      </c>
      <c r="C3" s="13">
        <v>2023</v>
      </c>
      <c r="D3" s="13">
        <v>2024</v>
      </c>
      <c r="E3" s="8"/>
      <c r="F3" s="8"/>
      <c r="G3" s="8"/>
      <c r="H3" s="8"/>
      <c r="I3" s="8"/>
      <c r="J3" s="4"/>
      <c r="K3" s="3"/>
    </row>
    <row r="4" spans="1:11" x14ac:dyDescent="0.25">
      <c r="A4" s="5" t="s">
        <v>11</v>
      </c>
      <c r="B4" s="9">
        <f>SUM(C4:D4)</f>
        <v>11107658.600000001</v>
      </c>
      <c r="C4" s="9">
        <f>SUM(C5+C12)</f>
        <v>1567958.8</v>
      </c>
      <c r="D4" s="9">
        <f>SUM(D5+D12)</f>
        <v>9539699.8000000007</v>
      </c>
      <c r="E4" s="8"/>
      <c r="F4" s="8"/>
      <c r="G4" s="8"/>
      <c r="H4" s="8"/>
      <c r="I4" s="8"/>
      <c r="J4" s="4"/>
      <c r="K4" s="4"/>
    </row>
    <row r="5" spans="1:11" ht="15.75" x14ac:dyDescent="0.25">
      <c r="A5" s="5" t="s">
        <v>12</v>
      </c>
      <c r="B5" s="9">
        <f>SUM(C5:D5)</f>
        <v>4223695.5999999996</v>
      </c>
      <c r="C5" s="9">
        <f>SUM(C6:C11)</f>
        <v>1313058.8</v>
      </c>
      <c r="D5" s="9">
        <f>SUM(D6:D11)</f>
        <v>2910636.8</v>
      </c>
      <c r="E5" s="16"/>
      <c r="F5" s="8"/>
      <c r="G5" s="8"/>
      <c r="H5" s="8"/>
      <c r="I5" s="8"/>
      <c r="J5" s="4"/>
    </row>
    <row r="6" spans="1:11" x14ac:dyDescent="0.25">
      <c r="A6" s="30" t="s">
        <v>13</v>
      </c>
      <c r="B6" s="17">
        <f t="shared" ref="B6:B14" si="0">SUM(C6:D6)</f>
        <v>1248892.6000000001</v>
      </c>
      <c r="C6" s="18">
        <f>SUMIFS(Q35:Q94,O35:O94,"Baaseelarve")</f>
        <v>798255.8</v>
      </c>
      <c r="D6" s="18">
        <f>SUMIFS(R35:R94,O35:O94,"Baaseelarve")</f>
        <v>450636.79999999999</v>
      </c>
      <c r="E6" s="10"/>
      <c r="F6" s="8"/>
      <c r="G6" s="8"/>
      <c r="H6" s="8"/>
      <c r="I6" s="8"/>
      <c r="J6" s="4"/>
    </row>
    <row r="7" spans="1:11" x14ac:dyDescent="0.25">
      <c r="A7" s="30" t="s">
        <v>14</v>
      </c>
      <c r="B7" s="17">
        <f t="shared" si="0"/>
        <v>2960000</v>
      </c>
      <c r="C7" s="18">
        <f>SUMIFS(Q35:Q94,O35:O94,"Muu rahastus")</f>
        <v>500000</v>
      </c>
      <c r="D7" s="18">
        <f>SUMIFS(R35:R94,O35:O94,"Muu rahastus")</f>
        <v>2460000</v>
      </c>
      <c r="E7" s="10"/>
      <c r="F7" s="8"/>
      <c r="G7" s="8"/>
      <c r="H7" s="8"/>
      <c r="I7" s="8"/>
      <c r="J7" s="4"/>
    </row>
    <row r="8" spans="1:11" x14ac:dyDescent="0.25">
      <c r="A8" s="30" t="s">
        <v>15</v>
      </c>
      <c r="B8" s="17">
        <f t="shared" si="0"/>
        <v>0</v>
      </c>
      <c r="C8" s="18">
        <f>SUMIFS(Q35:Q94,O35:O94,"Reserv (SR)")</f>
        <v>0</v>
      </c>
      <c r="D8" s="18">
        <f>SUMIFS(R35:R94,O35:O94,"Reserv (SR)")</f>
        <v>0</v>
      </c>
      <c r="E8" s="10"/>
      <c r="F8" s="8"/>
      <c r="G8" s="8"/>
      <c r="H8" s="8"/>
      <c r="I8" s="8"/>
      <c r="J8" s="4"/>
    </row>
    <row r="9" spans="1:11" hidden="1" x14ac:dyDescent="0.25">
      <c r="A9" s="30" t="s">
        <v>16</v>
      </c>
      <c r="B9" s="17">
        <f t="shared" si="0"/>
        <v>14803</v>
      </c>
      <c r="C9" s="18">
        <f>SUMIFS(Q35:Q94,O35:O94,"RRF")</f>
        <v>14803</v>
      </c>
      <c r="D9" s="18">
        <f>SUMIFS(R35:R94,O35:O94,"RRF")</f>
        <v>0</v>
      </c>
      <c r="E9" s="10"/>
      <c r="F9" s="8"/>
      <c r="G9" s="8"/>
      <c r="H9" s="8"/>
      <c r="I9" s="8"/>
      <c r="J9" s="4"/>
    </row>
    <row r="10" spans="1:11" x14ac:dyDescent="0.25">
      <c r="A10" s="30" t="s">
        <v>17</v>
      </c>
      <c r="B10" s="17">
        <f t="shared" si="0"/>
        <v>0</v>
      </c>
      <c r="C10" s="18">
        <f>SUMIFS(Q35:Q94,O35:O94,"SF 14-20 (töös olev projekt)")</f>
        <v>0</v>
      </c>
      <c r="D10" s="18">
        <f>SUMIFS(R35:R94,O35:O94,"SF 14-20 (töös olev projekt)")</f>
        <v>0</v>
      </c>
      <c r="E10" s="10"/>
      <c r="F10" s="8"/>
      <c r="G10" s="8"/>
      <c r="H10" s="8"/>
      <c r="I10" s="8"/>
      <c r="J10" s="4"/>
    </row>
    <row r="11" spans="1:11" x14ac:dyDescent="0.25">
      <c r="A11" s="30" t="s">
        <v>18</v>
      </c>
      <c r="B11" s="17">
        <f>SUM(C11:D11)</f>
        <v>0</v>
      </c>
      <c r="C11" s="18"/>
      <c r="D11" s="18"/>
      <c r="E11" s="10"/>
      <c r="F11" s="8"/>
      <c r="G11" s="8"/>
      <c r="H11" s="8"/>
      <c r="I11" s="8"/>
      <c r="J11" s="4"/>
    </row>
    <row r="12" spans="1:11" x14ac:dyDescent="0.25">
      <c r="A12" s="5" t="s">
        <v>19</v>
      </c>
      <c r="B12" s="9">
        <f t="shared" si="0"/>
        <v>6883963</v>
      </c>
      <c r="C12" s="9">
        <f>SUM(C13:C14)</f>
        <v>254900</v>
      </c>
      <c r="D12" s="9">
        <f>SUM(D13:D14)</f>
        <v>6629063</v>
      </c>
      <c r="E12" s="10"/>
      <c r="F12" s="8"/>
      <c r="G12" s="8"/>
      <c r="H12" s="8"/>
      <c r="I12" s="8"/>
      <c r="J12" s="4"/>
    </row>
    <row r="13" spans="1:11" x14ac:dyDescent="0.25">
      <c r="A13" s="30" t="s">
        <v>20</v>
      </c>
      <c r="B13" s="17">
        <f t="shared" si="0"/>
        <v>1323000</v>
      </c>
      <c r="C13" s="18">
        <f>SUMIFS(Q35:Q95,O35:O95,"RES IKT (vaja juurde taotleda)")</f>
        <v>0</v>
      </c>
      <c r="D13" s="18">
        <f>SUMIFS(R35:R95,O35:O95,"RES IKT (vaja juurde taotleda)")</f>
        <v>1323000</v>
      </c>
      <c r="E13" s="10" t="s">
        <v>355</v>
      </c>
      <c r="F13" s="8"/>
      <c r="G13" s="8"/>
      <c r="H13" s="8"/>
      <c r="I13" s="8"/>
      <c r="J13" s="4"/>
    </row>
    <row r="14" spans="1:11" x14ac:dyDescent="0.25">
      <c r="A14" s="30" t="s">
        <v>22</v>
      </c>
      <c r="B14" s="17">
        <f t="shared" si="0"/>
        <v>5560963</v>
      </c>
      <c r="C14" s="18">
        <f>SUMIFS(Q35:Q94,O35:O94,"SF 21-27 (taotletav raha)")</f>
        <v>254900</v>
      </c>
      <c r="D14" s="18">
        <f>SUMIFS(R35:R94,O35:O94,"SF 21-27 (taotletav raha)")</f>
        <v>5306063</v>
      </c>
      <c r="E14" s="10"/>
      <c r="F14" s="8"/>
      <c r="G14" s="8"/>
      <c r="H14" s="8"/>
      <c r="I14" s="8"/>
      <c r="J14" s="4"/>
    </row>
    <row r="15" spans="1:11" x14ac:dyDescent="0.25">
      <c r="A15" s="6"/>
      <c r="B15" s="6"/>
      <c r="C15" s="6"/>
      <c r="D15" s="6"/>
      <c r="E15" s="6"/>
      <c r="F15" s="6"/>
      <c r="G15" s="6"/>
      <c r="H15" s="6"/>
      <c r="I15" s="6"/>
    </row>
    <row r="16" spans="1:11" x14ac:dyDescent="0.25">
      <c r="A16" s="10" t="s">
        <v>24</v>
      </c>
      <c r="B16" s="6"/>
      <c r="C16" s="6"/>
      <c r="D16" s="6"/>
      <c r="E16" s="6"/>
      <c r="F16" s="6"/>
      <c r="G16" s="6"/>
      <c r="H16" s="6"/>
      <c r="I16" s="6"/>
    </row>
    <row r="17" spans="1:44" ht="29.1" customHeight="1" x14ac:dyDescent="0.25">
      <c r="A17" s="51" t="s">
        <v>25</v>
      </c>
      <c r="B17" s="623" t="s">
        <v>26</v>
      </c>
      <c r="C17" s="623"/>
      <c r="D17" s="623"/>
      <c r="E17" s="623"/>
      <c r="F17" s="623"/>
      <c r="G17" s="623"/>
      <c r="H17" s="623"/>
      <c r="I17" s="623"/>
      <c r="J17" s="320" t="s">
        <v>27</v>
      </c>
      <c r="K17" s="635" t="s">
        <v>28</v>
      </c>
      <c r="L17" s="605"/>
      <c r="M17" s="605"/>
      <c r="N17" s="605"/>
      <c r="O17" s="605"/>
      <c r="P17" s="605"/>
      <c r="Q17" s="636"/>
    </row>
    <row r="18" spans="1:44" ht="30" x14ac:dyDescent="0.25">
      <c r="A18" s="52" t="s">
        <v>356</v>
      </c>
      <c r="B18" s="109" t="s">
        <v>30</v>
      </c>
      <c r="C18" s="110" t="s">
        <v>31</v>
      </c>
      <c r="D18" s="110" t="s">
        <v>32</v>
      </c>
      <c r="E18" s="110" t="s">
        <v>33</v>
      </c>
      <c r="F18" s="110" t="s">
        <v>34</v>
      </c>
      <c r="G18" s="110" t="s">
        <v>35</v>
      </c>
      <c r="H18" s="110" t="s">
        <v>36</v>
      </c>
      <c r="I18" s="205" t="s">
        <v>37</v>
      </c>
      <c r="J18" s="321"/>
      <c r="K18" s="324"/>
      <c r="Q18" s="71"/>
    </row>
    <row r="19" spans="1:44" x14ac:dyDescent="0.25">
      <c r="A19" s="53" t="s">
        <v>357</v>
      </c>
      <c r="B19" s="256">
        <v>0</v>
      </c>
      <c r="C19" s="438"/>
      <c r="D19" s="438"/>
      <c r="E19" s="438"/>
      <c r="F19" s="438"/>
      <c r="G19" s="438"/>
      <c r="H19" s="438"/>
      <c r="I19" s="439">
        <v>1540000</v>
      </c>
      <c r="J19" s="322"/>
      <c r="K19" s="613" t="s">
        <v>39</v>
      </c>
      <c r="L19" s="609"/>
      <c r="M19" s="609"/>
      <c r="N19" s="609"/>
      <c r="O19" s="609"/>
      <c r="P19" s="609"/>
      <c r="Q19" s="634"/>
    </row>
    <row r="20" spans="1:44" ht="29.1" customHeight="1" x14ac:dyDescent="0.25">
      <c r="A20" s="51" t="s">
        <v>40</v>
      </c>
      <c r="B20" s="625" t="s">
        <v>41</v>
      </c>
      <c r="C20" s="625"/>
      <c r="D20" s="625"/>
      <c r="E20" s="625"/>
      <c r="F20" s="625"/>
      <c r="G20" s="625"/>
      <c r="H20" s="625"/>
      <c r="I20" s="625"/>
      <c r="J20" s="323"/>
      <c r="K20" s="635" t="s">
        <v>42</v>
      </c>
      <c r="L20" s="605"/>
      <c r="M20" s="605"/>
      <c r="N20" s="605"/>
      <c r="O20" s="605"/>
      <c r="P20" s="605"/>
      <c r="Q20" s="636"/>
    </row>
    <row r="21" spans="1:44" ht="30" x14ac:dyDescent="0.25">
      <c r="A21" s="52" t="s">
        <v>356</v>
      </c>
      <c r="B21" s="109" t="s">
        <v>30</v>
      </c>
      <c r="C21" s="110" t="s">
        <v>31</v>
      </c>
      <c r="D21" s="110" t="s">
        <v>32</v>
      </c>
      <c r="E21" s="110" t="s">
        <v>33</v>
      </c>
      <c r="F21" s="110" t="s">
        <v>34</v>
      </c>
      <c r="G21" s="110" t="s">
        <v>35</v>
      </c>
      <c r="H21" s="110" t="s">
        <v>36</v>
      </c>
      <c r="I21" s="205" t="s">
        <v>37</v>
      </c>
      <c r="J21" s="321"/>
      <c r="K21" s="324"/>
      <c r="Q21" s="71"/>
    </row>
    <row r="22" spans="1:44" x14ac:dyDescent="0.25">
      <c r="A22" s="53" t="s">
        <v>357</v>
      </c>
      <c r="B22" s="256">
        <v>0</v>
      </c>
      <c r="C22" s="438"/>
      <c r="D22" s="438"/>
      <c r="E22" s="438"/>
      <c r="F22" s="438"/>
      <c r="G22" s="438"/>
      <c r="H22" s="438"/>
      <c r="I22" s="439">
        <v>20</v>
      </c>
      <c r="J22" s="322"/>
      <c r="K22" s="613" t="s">
        <v>43</v>
      </c>
      <c r="L22" s="609"/>
      <c r="M22" s="609"/>
      <c r="N22" s="609"/>
      <c r="O22" s="609"/>
      <c r="P22" s="609"/>
      <c r="Q22" s="634"/>
    </row>
    <row r="23" spans="1:44" ht="29.1" customHeight="1" x14ac:dyDescent="0.25">
      <c r="A23" s="51" t="s">
        <v>40</v>
      </c>
      <c r="B23" s="625" t="s">
        <v>44</v>
      </c>
      <c r="C23" s="625"/>
      <c r="D23" s="625"/>
      <c r="E23" s="625"/>
      <c r="F23" s="625"/>
      <c r="G23" s="625"/>
      <c r="H23" s="625"/>
      <c r="I23" s="625"/>
      <c r="J23" s="323"/>
      <c r="K23" s="635" t="s">
        <v>45</v>
      </c>
      <c r="L23" s="605"/>
      <c r="M23" s="605"/>
      <c r="N23" s="605"/>
      <c r="O23" s="605"/>
      <c r="P23" s="605"/>
      <c r="Q23" s="636"/>
    </row>
    <row r="24" spans="1:44" ht="30" x14ac:dyDescent="0.25">
      <c r="A24" s="52" t="s">
        <v>356</v>
      </c>
      <c r="B24" s="109" t="s">
        <v>30</v>
      </c>
      <c r="C24" s="110" t="s">
        <v>31</v>
      </c>
      <c r="D24" s="110" t="s">
        <v>32</v>
      </c>
      <c r="E24" s="110" t="s">
        <v>33</v>
      </c>
      <c r="F24" s="110" t="s">
        <v>34</v>
      </c>
      <c r="G24" s="110" t="s">
        <v>35</v>
      </c>
      <c r="H24" s="110" t="s">
        <v>36</v>
      </c>
      <c r="I24" s="205" t="s">
        <v>37</v>
      </c>
      <c r="J24" s="321"/>
      <c r="K24" s="324"/>
      <c r="Q24" s="71"/>
    </row>
    <row r="25" spans="1:44" x14ac:dyDescent="0.25">
      <c r="A25" s="53" t="s">
        <v>357</v>
      </c>
      <c r="B25" s="256">
        <v>0</v>
      </c>
      <c r="C25" s="438"/>
      <c r="D25" s="438"/>
      <c r="E25" s="438"/>
      <c r="F25" s="438"/>
      <c r="G25" s="438"/>
      <c r="H25" s="438"/>
      <c r="I25" s="439">
        <v>11</v>
      </c>
      <c r="J25" s="322"/>
      <c r="K25" s="613" t="s">
        <v>46</v>
      </c>
      <c r="L25" s="609"/>
      <c r="M25" s="609"/>
      <c r="N25" s="609"/>
      <c r="O25" s="609"/>
      <c r="P25" s="609"/>
      <c r="Q25" s="634"/>
    </row>
    <row r="26" spans="1:44" ht="75.75" thickBot="1" x14ac:dyDescent="0.3">
      <c r="A26" s="51" t="s">
        <v>47</v>
      </c>
      <c r="B26" s="625" t="s">
        <v>48</v>
      </c>
      <c r="C26" s="625"/>
      <c r="D26" s="625"/>
      <c r="E26" s="625"/>
      <c r="F26" s="625"/>
      <c r="G26" s="625"/>
      <c r="H26" s="625"/>
      <c r="I26" s="625"/>
      <c r="J26" s="323"/>
      <c r="K26" s="635" t="s">
        <v>49</v>
      </c>
      <c r="L26" s="605"/>
      <c r="M26" s="605"/>
      <c r="N26" s="605"/>
      <c r="O26" s="605"/>
      <c r="P26" s="605"/>
      <c r="Q26" s="636"/>
    </row>
    <row r="27" spans="1:44" ht="30.75" customHeight="1" x14ac:dyDescent="0.25">
      <c r="A27" s="52" t="s">
        <v>356</v>
      </c>
      <c r="B27" s="109" t="s">
        <v>30</v>
      </c>
      <c r="C27" s="110" t="s">
        <v>31</v>
      </c>
      <c r="D27" s="110" t="s">
        <v>32</v>
      </c>
      <c r="E27" s="110" t="s">
        <v>33</v>
      </c>
      <c r="F27" s="110" t="s">
        <v>34</v>
      </c>
      <c r="G27" s="110" t="s">
        <v>35</v>
      </c>
      <c r="H27" s="110" t="s">
        <v>36</v>
      </c>
      <c r="I27" s="205" t="s">
        <v>37</v>
      </c>
      <c r="J27" s="321"/>
      <c r="K27" s="396"/>
      <c r="L27" s="397"/>
      <c r="M27" s="397"/>
      <c r="N27" s="397"/>
      <c r="O27" s="397"/>
      <c r="P27" s="397"/>
      <c r="Q27" s="398"/>
    </row>
    <row r="28" spans="1:44" x14ac:dyDescent="0.25">
      <c r="A28" s="53" t="s">
        <v>358</v>
      </c>
      <c r="B28" s="256">
        <v>21</v>
      </c>
      <c r="C28" s="438"/>
      <c r="D28" s="438"/>
      <c r="E28" s="438"/>
      <c r="F28" s="438"/>
      <c r="G28" s="438"/>
      <c r="H28" s="438"/>
      <c r="I28" s="440">
        <v>0.9</v>
      </c>
      <c r="J28" s="322"/>
      <c r="K28" s="613" t="s">
        <v>50</v>
      </c>
      <c r="L28" s="609"/>
      <c r="M28" s="609"/>
      <c r="N28" s="609"/>
      <c r="O28" s="609"/>
      <c r="P28" s="609"/>
      <c r="Q28" s="634"/>
    </row>
    <row r="29" spans="1:44" x14ac:dyDescent="0.25">
      <c r="A29" s="3"/>
      <c r="B29" s="3"/>
      <c r="C29" s="1"/>
      <c r="D29" s="1"/>
      <c r="E29" s="1"/>
      <c r="F29" s="1"/>
      <c r="G29" s="1"/>
      <c r="H29" s="1"/>
      <c r="I29" s="1"/>
    </row>
    <row r="31" spans="1:44" x14ac:dyDescent="0.25">
      <c r="C31" s="2"/>
      <c r="D31" s="2"/>
    </row>
    <row r="32" spans="1:44" ht="15.75" thickBot="1" x14ac:dyDescent="0.3">
      <c r="A32" s="1"/>
      <c r="B32" s="1"/>
      <c r="C32" s="77"/>
      <c r="D32" s="77"/>
      <c r="E32" s="1"/>
      <c r="F32" s="1"/>
      <c r="G32" s="1"/>
      <c r="H32" s="1"/>
      <c r="I32" s="1"/>
      <c r="K32" s="1"/>
      <c r="L32" s="1"/>
      <c r="M32" s="1"/>
      <c r="N32" s="1"/>
      <c r="O32" s="1"/>
      <c r="P32" s="1"/>
      <c r="Q32" s="1"/>
      <c r="R32" s="1"/>
      <c r="S32" s="1"/>
      <c r="T32" s="1"/>
      <c r="U32" s="1"/>
      <c r="V32" s="628" t="s">
        <v>51</v>
      </c>
      <c r="W32" s="628"/>
      <c r="X32" s="628"/>
      <c r="Y32" s="629"/>
      <c r="Z32" s="629"/>
      <c r="AA32" s="629"/>
      <c r="AB32" s="629"/>
      <c r="AC32" s="629"/>
      <c r="AD32" s="629"/>
      <c r="AE32" s="629"/>
      <c r="AF32" s="629"/>
      <c r="AG32" s="629"/>
      <c r="AH32" s="629"/>
      <c r="AI32" s="629"/>
      <c r="AJ32" s="630"/>
      <c r="AK32" s="1"/>
      <c r="AL32" s="1"/>
      <c r="AM32" s="1"/>
      <c r="AN32" s="1"/>
      <c r="AO32" s="637" t="s">
        <v>51</v>
      </c>
      <c r="AP32" s="638"/>
      <c r="AQ32" s="639"/>
      <c r="AR32" s="1"/>
    </row>
    <row r="33" spans="1:48" ht="45.75" thickBot="1" x14ac:dyDescent="0.3">
      <c r="A33" s="23" t="s">
        <v>52</v>
      </c>
      <c r="B33" s="282" t="s">
        <v>53</v>
      </c>
      <c r="C33" s="282" t="s">
        <v>54</v>
      </c>
      <c r="D33" s="282" t="s">
        <v>55</v>
      </c>
      <c r="E33" s="282" t="s">
        <v>56</v>
      </c>
      <c r="F33" s="282" t="s">
        <v>359</v>
      </c>
      <c r="G33" s="282" t="s">
        <v>360</v>
      </c>
      <c r="H33" s="282" t="s">
        <v>59</v>
      </c>
      <c r="I33" s="282" t="s">
        <v>60</v>
      </c>
      <c r="J33" s="282" t="s">
        <v>361</v>
      </c>
      <c r="K33" s="283" t="s">
        <v>62</v>
      </c>
      <c r="L33" s="284" t="s">
        <v>64</v>
      </c>
      <c r="M33" s="282" t="s">
        <v>65</v>
      </c>
      <c r="N33" s="282" t="s">
        <v>66</v>
      </c>
      <c r="O33" s="282" t="s">
        <v>67</v>
      </c>
      <c r="P33" s="296" t="s">
        <v>68</v>
      </c>
      <c r="Q33" s="23">
        <v>2023</v>
      </c>
      <c r="R33" s="228">
        <v>2024</v>
      </c>
      <c r="S33" s="228">
        <v>2025</v>
      </c>
      <c r="T33" s="228">
        <v>2026</v>
      </c>
      <c r="U33" s="227">
        <v>2027</v>
      </c>
      <c r="V33" s="620" t="s">
        <v>362</v>
      </c>
      <c r="W33" s="620"/>
      <c r="X33" s="620"/>
      <c r="Y33" s="620">
        <v>2024</v>
      </c>
      <c r="Z33" s="618"/>
      <c r="AA33" s="619"/>
      <c r="AB33" s="620">
        <v>2025</v>
      </c>
      <c r="AC33" s="618"/>
      <c r="AD33" s="619"/>
      <c r="AE33" s="620">
        <v>2026</v>
      </c>
      <c r="AF33" s="618"/>
      <c r="AG33" s="619"/>
      <c r="AH33" s="620">
        <v>2027</v>
      </c>
      <c r="AI33" s="618"/>
      <c r="AJ33" s="618"/>
      <c r="AK33" s="21" t="s">
        <v>363</v>
      </c>
      <c r="AL33" s="22" t="s">
        <v>364</v>
      </c>
      <c r="AM33" s="22" t="s">
        <v>72</v>
      </c>
      <c r="AN33" s="21"/>
      <c r="AO33" s="620" t="s">
        <v>365</v>
      </c>
      <c r="AP33" s="640"/>
      <c r="AQ33" s="641"/>
      <c r="AR33" s="74" t="s">
        <v>366</v>
      </c>
    </row>
    <row r="34" spans="1:48" s="14" customFormat="1" ht="153" customHeight="1" thickBot="1" x14ac:dyDescent="0.3">
      <c r="A34" s="297" t="s">
        <v>75</v>
      </c>
      <c r="B34" s="395" t="s">
        <v>76</v>
      </c>
      <c r="C34" s="286" t="s">
        <v>77</v>
      </c>
      <c r="D34" s="286" t="s">
        <v>78</v>
      </c>
      <c r="E34" s="287" t="s">
        <v>79</v>
      </c>
      <c r="F34" s="287" t="s">
        <v>79</v>
      </c>
      <c r="G34" s="287" t="s">
        <v>80</v>
      </c>
      <c r="H34" s="286" t="s">
        <v>81</v>
      </c>
      <c r="I34" s="286" t="s">
        <v>82</v>
      </c>
      <c r="J34" s="286" t="s">
        <v>83</v>
      </c>
      <c r="K34" s="286" t="s">
        <v>367</v>
      </c>
      <c r="L34" s="288" t="s">
        <v>86</v>
      </c>
      <c r="M34" s="288" t="s">
        <v>87</v>
      </c>
      <c r="N34" s="289" t="s">
        <v>368</v>
      </c>
      <c r="O34" s="287" t="s">
        <v>79</v>
      </c>
      <c r="P34" s="290"/>
      <c r="Q34" s="631"/>
      <c r="R34" s="632"/>
      <c r="S34" s="632"/>
      <c r="T34" s="632"/>
      <c r="U34" s="633"/>
      <c r="V34" s="328" t="s">
        <v>89</v>
      </c>
      <c r="W34" s="329" t="s">
        <v>90</v>
      </c>
      <c r="X34" s="330" t="s">
        <v>91</v>
      </c>
      <c r="Y34" s="334" t="s">
        <v>89</v>
      </c>
      <c r="Z34" s="329" t="s">
        <v>90</v>
      </c>
      <c r="AA34" s="335" t="s">
        <v>91</v>
      </c>
      <c r="AB34" s="28" t="s">
        <v>89</v>
      </c>
      <c r="AC34" s="25" t="s">
        <v>90</v>
      </c>
      <c r="AD34" s="26" t="s">
        <v>91</v>
      </c>
      <c r="AE34" s="28" t="s">
        <v>89</v>
      </c>
      <c r="AF34" s="25" t="s">
        <v>90</v>
      </c>
      <c r="AG34" s="26" t="s">
        <v>91</v>
      </c>
      <c r="AH34" s="28" t="s">
        <v>89</v>
      </c>
      <c r="AI34" s="25" t="s">
        <v>90</v>
      </c>
      <c r="AJ34" s="27" t="s">
        <v>91</v>
      </c>
      <c r="AK34" s="298" t="s">
        <v>92</v>
      </c>
      <c r="AL34" s="299" t="s">
        <v>79</v>
      </c>
      <c r="AM34" s="311"/>
      <c r="AN34" s="301"/>
      <c r="AO34" s="28" t="s">
        <v>89</v>
      </c>
      <c r="AP34" s="25" t="s">
        <v>90</v>
      </c>
      <c r="AQ34" s="26" t="s">
        <v>91</v>
      </c>
      <c r="AR34" s="300" t="s">
        <v>369</v>
      </c>
      <c r="AV34" s="73"/>
    </row>
    <row r="35" spans="1:48" s="19" customFormat="1" ht="362.45" customHeight="1" x14ac:dyDescent="0.25">
      <c r="A35" s="257" t="s">
        <v>109</v>
      </c>
      <c r="B35" s="257" t="s">
        <v>97</v>
      </c>
      <c r="C35" s="257" t="s">
        <v>98</v>
      </c>
      <c r="D35" s="258" t="s">
        <v>99</v>
      </c>
      <c r="E35" s="258" t="s">
        <v>100</v>
      </c>
      <c r="F35" s="258" t="s">
        <v>101</v>
      </c>
      <c r="G35" s="258" t="s">
        <v>102</v>
      </c>
      <c r="H35" s="258" t="s">
        <v>103</v>
      </c>
      <c r="I35" s="258" t="s">
        <v>104</v>
      </c>
      <c r="J35" s="258" t="s">
        <v>105</v>
      </c>
      <c r="K35" s="258" t="s">
        <v>370</v>
      </c>
      <c r="L35" s="258">
        <v>9</v>
      </c>
      <c r="M35" s="258"/>
      <c r="N35" s="258"/>
      <c r="O35" s="258" t="s">
        <v>18</v>
      </c>
      <c r="P35" s="401">
        <f t="shared" ref="P35:P66" si="1">SUM(Q35:U35)</f>
        <v>14803</v>
      </c>
      <c r="Q35" s="251">
        <f t="shared" ref="Q35:Q94" si="2">SUM(V35:X35)</f>
        <v>14803</v>
      </c>
      <c r="R35" s="302">
        <f t="shared" ref="R35:R66" si="3">SUM(Y35:AA35)</f>
        <v>0</v>
      </c>
      <c r="S35" s="302">
        <f t="shared" ref="S35:S66" si="4">SUM(AB35:AD35)</f>
        <v>0</v>
      </c>
      <c r="T35" s="302">
        <f t="shared" ref="T35:T66" si="5">SUM(AE35:AG35)</f>
        <v>0</v>
      </c>
      <c r="U35" s="326">
        <f t="shared" ref="U35:U66" si="6">SUM(AH35:AJ35)</f>
        <v>0</v>
      </c>
      <c r="V35" s="251"/>
      <c r="W35" s="250">
        <v>12672</v>
      </c>
      <c r="X35" s="333">
        <v>2131</v>
      </c>
      <c r="Y35" s="251"/>
      <c r="Z35" s="250"/>
      <c r="AA35" s="331"/>
      <c r="AB35" s="245"/>
      <c r="AC35" s="246"/>
      <c r="AD35" s="248"/>
      <c r="AE35" s="247"/>
      <c r="AF35" s="246"/>
      <c r="AG35" s="248"/>
      <c r="AH35" s="247"/>
      <c r="AI35" s="246"/>
      <c r="AJ35" s="246"/>
      <c r="AK35" s="259" t="s">
        <v>107</v>
      </c>
      <c r="AL35" s="249" t="s">
        <v>108</v>
      </c>
      <c r="AM35" s="259"/>
      <c r="AN35" s="314"/>
      <c r="AO35" s="305"/>
      <c r="AP35" s="233">
        <v>12672</v>
      </c>
      <c r="AQ35" s="306">
        <v>2131</v>
      </c>
      <c r="AR35" s="238" t="s">
        <v>371</v>
      </c>
    </row>
    <row r="36" spans="1:48" s="35" customFormat="1" ht="210" x14ac:dyDescent="0.25">
      <c r="A36" s="257" t="s">
        <v>109</v>
      </c>
      <c r="B36" s="257" t="s">
        <v>147</v>
      </c>
      <c r="C36" s="257" t="s">
        <v>146</v>
      </c>
      <c r="D36" s="258" t="s">
        <v>147</v>
      </c>
      <c r="E36" s="258" t="s">
        <v>100</v>
      </c>
      <c r="F36" s="258" t="s">
        <v>135</v>
      </c>
      <c r="G36" s="258" t="s">
        <v>102</v>
      </c>
      <c r="H36" s="258" t="s">
        <v>372</v>
      </c>
      <c r="I36" s="258" t="s">
        <v>373</v>
      </c>
      <c r="J36" s="258" t="s">
        <v>374</v>
      </c>
      <c r="K36" s="258" t="s">
        <v>375</v>
      </c>
      <c r="L36" s="258">
        <v>2</v>
      </c>
      <c r="M36" s="258"/>
      <c r="N36" s="258"/>
      <c r="O36" s="258" t="s">
        <v>118</v>
      </c>
      <c r="P36" s="401">
        <f t="shared" si="1"/>
        <v>0</v>
      </c>
      <c r="Q36" s="243">
        <f t="shared" si="2"/>
        <v>0</v>
      </c>
      <c r="R36" s="244">
        <f t="shared" si="3"/>
        <v>0</v>
      </c>
      <c r="S36" s="244">
        <f t="shared" si="4"/>
        <v>0</v>
      </c>
      <c r="T36" s="244">
        <f t="shared" si="5"/>
        <v>0</v>
      </c>
      <c r="U36" s="245">
        <f t="shared" si="6"/>
        <v>0</v>
      </c>
      <c r="V36" s="332"/>
      <c r="W36" s="254"/>
      <c r="X36" s="262"/>
      <c r="Y36" s="332"/>
      <c r="Z36" s="254"/>
      <c r="AA36" s="263"/>
      <c r="AB36" s="245"/>
      <c r="AC36" s="246"/>
      <c r="AD36" s="248"/>
      <c r="AE36" s="247"/>
      <c r="AF36" s="246"/>
      <c r="AG36" s="248"/>
      <c r="AH36" s="247"/>
      <c r="AI36" s="246"/>
      <c r="AJ36" s="246"/>
      <c r="AK36" s="259" t="s">
        <v>376</v>
      </c>
      <c r="AL36" s="249" t="s">
        <v>108</v>
      </c>
      <c r="AM36" s="259"/>
      <c r="AN36" s="314"/>
      <c r="AO36" s="305">
        <v>0</v>
      </c>
      <c r="AP36" s="233">
        <v>0</v>
      </c>
      <c r="AQ36" s="306">
        <v>0</v>
      </c>
      <c r="AR36" s="339" t="s">
        <v>377</v>
      </c>
    </row>
    <row r="37" spans="1:48" s="35" customFormat="1" ht="405" x14ac:dyDescent="0.25">
      <c r="A37" s="257" t="s">
        <v>109</v>
      </c>
      <c r="B37" s="257"/>
      <c r="C37" s="257" t="s">
        <v>120</v>
      </c>
      <c r="D37" s="258" t="s">
        <v>121</v>
      </c>
      <c r="E37" s="258" t="s">
        <v>100</v>
      </c>
      <c r="F37" s="258" t="s">
        <v>122</v>
      </c>
      <c r="G37" s="258" t="s">
        <v>102</v>
      </c>
      <c r="H37" s="258" t="s">
        <v>123</v>
      </c>
      <c r="I37" s="258" t="s">
        <v>124</v>
      </c>
      <c r="J37" s="258" t="s">
        <v>378</v>
      </c>
      <c r="K37" s="258" t="s">
        <v>126</v>
      </c>
      <c r="L37" s="258">
        <v>1</v>
      </c>
      <c r="M37" s="258"/>
      <c r="N37" s="258"/>
      <c r="O37" s="258" t="s">
        <v>129</v>
      </c>
      <c r="P37" s="401">
        <f t="shared" si="1"/>
        <v>500000</v>
      </c>
      <c r="Q37" s="243">
        <f t="shared" si="2"/>
        <v>0</v>
      </c>
      <c r="R37" s="244">
        <f t="shared" si="3"/>
        <v>500000</v>
      </c>
      <c r="S37" s="244">
        <f t="shared" si="4"/>
        <v>0</v>
      </c>
      <c r="T37" s="244">
        <f t="shared" si="5"/>
        <v>0</v>
      </c>
      <c r="U37" s="245">
        <f t="shared" si="6"/>
        <v>0</v>
      </c>
      <c r="V37" s="332"/>
      <c r="W37" s="254"/>
      <c r="X37" s="262"/>
      <c r="Y37" s="332">
        <v>500000</v>
      </c>
      <c r="Z37" s="254"/>
      <c r="AA37" s="263"/>
      <c r="AB37" s="245"/>
      <c r="AC37" s="246"/>
      <c r="AD37" s="248"/>
      <c r="AE37" s="247"/>
      <c r="AF37" s="246"/>
      <c r="AG37" s="248"/>
      <c r="AH37" s="247"/>
      <c r="AI37" s="246"/>
      <c r="AJ37" s="246"/>
      <c r="AK37" s="259" t="s">
        <v>130</v>
      </c>
      <c r="AL37" s="249" t="s">
        <v>131</v>
      </c>
      <c r="AM37" s="259"/>
      <c r="AN37" s="314"/>
      <c r="AO37" s="305">
        <v>0</v>
      </c>
      <c r="AP37" s="233">
        <v>0</v>
      </c>
      <c r="AQ37" s="306">
        <v>0</v>
      </c>
      <c r="AR37" s="339" t="s">
        <v>379</v>
      </c>
    </row>
    <row r="38" spans="1:48" s="35" customFormat="1" ht="405" x14ac:dyDescent="0.25">
      <c r="A38" s="257" t="s">
        <v>109</v>
      </c>
      <c r="B38" s="257" t="s">
        <v>121</v>
      </c>
      <c r="C38" s="257" t="s">
        <v>120</v>
      </c>
      <c r="D38" s="258" t="s">
        <v>121</v>
      </c>
      <c r="E38" s="258" t="s">
        <v>100</v>
      </c>
      <c r="F38" s="258" t="s">
        <v>122</v>
      </c>
      <c r="G38" s="258" t="s">
        <v>102</v>
      </c>
      <c r="H38" s="258" t="s">
        <v>123</v>
      </c>
      <c r="I38" s="258" t="s">
        <v>124</v>
      </c>
      <c r="J38" s="258" t="s">
        <v>132</v>
      </c>
      <c r="K38" s="258" t="s">
        <v>126</v>
      </c>
      <c r="L38" s="258">
        <v>3</v>
      </c>
      <c r="M38" s="258"/>
      <c r="N38" s="258"/>
      <c r="O38" s="258" t="s">
        <v>118</v>
      </c>
      <c r="P38" s="401">
        <f t="shared" si="1"/>
        <v>132684</v>
      </c>
      <c r="Q38" s="243">
        <f t="shared" si="2"/>
        <v>0</v>
      </c>
      <c r="R38" s="244">
        <f t="shared" si="3"/>
        <v>0</v>
      </c>
      <c r="S38" s="244">
        <f t="shared" si="4"/>
        <v>44228</v>
      </c>
      <c r="T38" s="244">
        <f t="shared" si="5"/>
        <v>44228</v>
      </c>
      <c r="U38" s="245">
        <f t="shared" si="6"/>
        <v>44228</v>
      </c>
      <c r="V38" s="471"/>
      <c r="W38" s="472"/>
      <c r="X38" s="473"/>
      <c r="Y38" s="471"/>
      <c r="Z38" s="472"/>
      <c r="AA38" s="474"/>
      <c r="AB38" s="475"/>
      <c r="AC38" s="476"/>
      <c r="AD38" s="477">
        <v>44228</v>
      </c>
      <c r="AE38" s="478"/>
      <c r="AF38" s="476"/>
      <c r="AG38" s="477">
        <v>44228</v>
      </c>
      <c r="AH38" s="478"/>
      <c r="AI38" s="476"/>
      <c r="AJ38" s="476">
        <v>44228</v>
      </c>
      <c r="AK38" s="259" t="s">
        <v>130</v>
      </c>
      <c r="AL38" s="249" t="s">
        <v>133</v>
      </c>
      <c r="AM38" s="259"/>
      <c r="AN38" s="314"/>
      <c r="AO38" s="305"/>
      <c r="AP38" s="233"/>
      <c r="AQ38" s="306"/>
      <c r="AR38" s="339"/>
    </row>
    <row r="39" spans="1:48" s="35" customFormat="1" ht="165" x14ac:dyDescent="0.25">
      <c r="A39" s="257" t="s">
        <v>109</v>
      </c>
      <c r="B39" s="257"/>
      <c r="C39" s="257" t="s">
        <v>134</v>
      </c>
      <c r="D39" s="258" t="s">
        <v>96</v>
      </c>
      <c r="E39" s="258" t="s">
        <v>100</v>
      </c>
      <c r="F39" s="258" t="s">
        <v>135</v>
      </c>
      <c r="G39" s="258" t="s">
        <v>102</v>
      </c>
      <c r="H39" s="258" t="s">
        <v>136</v>
      </c>
      <c r="I39" s="258" t="s">
        <v>137</v>
      </c>
      <c r="J39" s="258" t="s">
        <v>138</v>
      </c>
      <c r="K39" s="258" t="s">
        <v>139</v>
      </c>
      <c r="L39" s="258">
        <v>7</v>
      </c>
      <c r="M39" s="258"/>
      <c r="N39" s="258" t="s">
        <v>164</v>
      </c>
      <c r="O39" s="258" t="s">
        <v>129</v>
      </c>
      <c r="P39" s="401">
        <f t="shared" si="1"/>
        <v>350000</v>
      </c>
      <c r="Q39" s="243">
        <f t="shared" si="2"/>
        <v>0</v>
      </c>
      <c r="R39" s="244">
        <f t="shared" si="3"/>
        <v>350000</v>
      </c>
      <c r="S39" s="244">
        <f t="shared" si="4"/>
        <v>0</v>
      </c>
      <c r="T39" s="244">
        <f t="shared" si="5"/>
        <v>0</v>
      </c>
      <c r="U39" s="245">
        <f t="shared" si="6"/>
        <v>0</v>
      </c>
      <c r="V39" s="471"/>
      <c r="W39" s="472"/>
      <c r="X39" s="473"/>
      <c r="Y39" s="471">
        <v>350000</v>
      </c>
      <c r="Z39" s="472"/>
      <c r="AA39" s="474"/>
      <c r="AB39" s="475"/>
      <c r="AC39" s="476"/>
      <c r="AD39" s="477"/>
      <c r="AE39" s="478"/>
      <c r="AF39" s="476"/>
      <c r="AG39" s="477"/>
      <c r="AH39" s="478"/>
      <c r="AI39" s="476"/>
      <c r="AJ39" s="476"/>
      <c r="AK39" s="259" t="s">
        <v>141</v>
      </c>
      <c r="AL39" s="249" t="s">
        <v>131</v>
      </c>
      <c r="AM39" s="259"/>
      <c r="AN39" s="314"/>
      <c r="AO39" s="305">
        <v>0</v>
      </c>
      <c r="AP39" s="233">
        <v>0</v>
      </c>
      <c r="AQ39" s="306">
        <v>0</v>
      </c>
      <c r="AR39" s="339" t="s">
        <v>380</v>
      </c>
    </row>
    <row r="40" spans="1:48" s="19" customFormat="1" ht="120" x14ac:dyDescent="0.25">
      <c r="A40" s="257" t="s">
        <v>109</v>
      </c>
      <c r="B40" s="257" t="s">
        <v>96</v>
      </c>
      <c r="C40" s="257" t="s">
        <v>142</v>
      </c>
      <c r="D40" s="258" t="s">
        <v>96</v>
      </c>
      <c r="E40" s="258" t="s">
        <v>100</v>
      </c>
      <c r="F40" s="258" t="s">
        <v>135</v>
      </c>
      <c r="G40" s="258" t="s">
        <v>143</v>
      </c>
      <c r="H40" s="258" t="s">
        <v>136</v>
      </c>
      <c r="I40" s="258" t="s">
        <v>137</v>
      </c>
      <c r="J40" s="258" t="s">
        <v>144</v>
      </c>
      <c r="K40" s="258" t="s">
        <v>139</v>
      </c>
      <c r="L40" s="258">
        <v>6</v>
      </c>
      <c r="M40" s="258"/>
      <c r="N40" s="258"/>
      <c r="O40" s="258" t="s">
        <v>118</v>
      </c>
      <c r="P40" s="401">
        <f t="shared" si="1"/>
        <v>108000</v>
      </c>
      <c r="Q40" s="243">
        <f t="shared" si="2"/>
        <v>0</v>
      </c>
      <c r="R40" s="244">
        <f t="shared" si="3"/>
        <v>0</v>
      </c>
      <c r="S40" s="244">
        <f t="shared" si="4"/>
        <v>36000</v>
      </c>
      <c r="T40" s="244">
        <f t="shared" si="5"/>
        <v>36000</v>
      </c>
      <c r="U40" s="245">
        <f t="shared" si="6"/>
        <v>36000</v>
      </c>
      <c r="V40" s="471"/>
      <c r="W40" s="472"/>
      <c r="X40" s="473"/>
      <c r="Y40" s="471"/>
      <c r="Z40" s="472"/>
      <c r="AA40" s="474"/>
      <c r="AB40" s="475"/>
      <c r="AC40" s="476"/>
      <c r="AD40" s="477">
        <v>36000</v>
      </c>
      <c r="AE40" s="478"/>
      <c r="AF40" s="476"/>
      <c r="AG40" s="477">
        <v>36000</v>
      </c>
      <c r="AH40" s="478"/>
      <c r="AI40" s="476"/>
      <c r="AJ40" s="476">
        <v>36000</v>
      </c>
      <c r="AK40" s="259" t="s">
        <v>145</v>
      </c>
      <c r="AL40" s="249" t="s">
        <v>133</v>
      </c>
      <c r="AM40" s="259"/>
      <c r="AN40" s="314"/>
      <c r="AO40" s="305"/>
      <c r="AP40" s="233"/>
      <c r="AQ40" s="306"/>
      <c r="AR40" s="339"/>
    </row>
    <row r="41" spans="1:48" s="35" customFormat="1" ht="105" x14ac:dyDescent="0.25">
      <c r="A41" s="269" t="s">
        <v>109</v>
      </c>
      <c r="B41" s="257"/>
      <c r="C41" s="257" t="s">
        <v>146</v>
      </c>
      <c r="D41" s="258" t="s">
        <v>147</v>
      </c>
      <c r="E41" s="258" t="s">
        <v>100</v>
      </c>
      <c r="F41" s="258" t="s">
        <v>135</v>
      </c>
      <c r="G41" s="258" t="s">
        <v>102</v>
      </c>
      <c r="H41" s="258" t="s">
        <v>148</v>
      </c>
      <c r="I41" s="258" t="s">
        <v>149</v>
      </c>
      <c r="J41" s="258" t="s">
        <v>381</v>
      </c>
      <c r="K41" s="258" t="s">
        <v>151</v>
      </c>
      <c r="L41" s="258">
        <v>11</v>
      </c>
      <c r="M41" s="258"/>
      <c r="N41" s="258" t="s">
        <v>164</v>
      </c>
      <c r="O41" s="258" t="s">
        <v>129</v>
      </c>
      <c r="P41" s="401">
        <f t="shared" si="1"/>
        <v>500000</v>
      </c>
      <c r="Q41" s="243">
        <f t="shared" si="2"/>
        <v>0</v>
      </c>
      <c r="R41" s="244">
        <f t="shared" si="3"/>
        <v>500000</v>
      </c>
      <c r="S41" s="244">
        <f t="shared" si="4"/>
        <v>0</v>
      </c>
      <c r="T41" s="244">
        <f t="shared" si="5"/>
        <v>0</v>
      </c>
      <c r="U41" s="245">
        <f t="shared" si="6"/>
        <v>0</v>
      </c>
      <c r="V41" s="471"/>
      <c r="W41" s="472"/>
      <c r="X41" s="473"/>
      <c r="Y41" s="471">
        <v>500000</v>
      </c>
      <c r="Z41" s="472"/>
      <c r="AA41" s="474"/>
      <c r="AB41" s="475"/>
      <c r="AC41" s="476"/>
      <c r="AD41" s="477"/>
      <c r="AE41" s="478"/>
      <c r="AF41" s="476"/>
      <c r="AG41" s="477"/>
      <c r="AH41" s="478"/>
      <c r="AI41" s="476"/>
      <c r="AJ41" s="476"/>
      <c r="AK41" s="259" t="s">
        <v>152</v>
      </c>
      <c r="AL41" s="249" t="s">
        <v>153</v>
      </c>
      <c r="AM41" s="259"/>
      <c r="AN41" s="314"/>
      <c r="AO41" s="305">
        <v>0</v>
      </c>
      <c r="AP41" s="233">
        <v>0</v>
      </c>
      <c r="AQ41" s="306">
        <v>0</v>
      </c>
      <c r="AR41" s="339" t="s">
        <v>382</v>
      </c>
    </row>
    <row r="42" spans="1:48" s="35" customFormat="1" ht="246.6" customHeight="1" x14ac:dyDescent="0.25">
      <c r="A42" s="269" t="s">
        <v>109</v>
      </c>
      <c r="B42" s="257" t="s">
        <v>147</v>
      </c>
      <c r="C42" s="257" t="s">
        <v>146</v>
      </c>
      <c r="D42" s="258" t="s">
        <v>147</v>
      </c>
      <c r="E42" s="258" t="s">
        <v>100</v>
      </c>
      <c r="F42" s="258" t="s">
        <v>135</v>
      </c>
      <c r="G42" s="258" t="s">
        <v>102</v>
      </c>
      <c r="H42" s="258" t="s">
        <v>148</v>
      </c>
      <c r="I42" s="258" t="s">
        <v>149</v>
      </c>
      <c r="J42" s="258" t="s">
        <v>154</v>
      </c>
      <c r="K42" s="258" t="s">
        <v>151</v>
      </c>
      <c r="L42" s="258">
        <v>5</v>
      </c>
      <c r="M42" s="258"/>
      <c r="N42" s="258"/>
      <c r="O42" s="258" t="s">
        <v>118</v>
      </c>
      <c r="P42" s="401">
        <f t="shared" si="1"/>
        <v>1953184</v>
      </c>
      <c r="Q42" s="243">
        <f t="shared" si="2"/>
        <v>390636.79999999999</v>
      </c>
      <c r="R42" s="244">
        <f t="shared" si="3"/>
        <v>390636.79999999999</v>
      </c>
      <c r="S42" s="244">
        <f t="shared" si="4"/>
        <v>390636.79999999999</v>
      </c>
      <c r="T42" s="244">
        <f t="shared" si="5"/>
        <v>390636.79999999999</v>
      </c>
      <c r="U42" s="245">
        <f t="shared" si="6"/>
        <v>390636.79999999999</v>
      </c>
      <c r="V42" s="471"/>
      <c r="W42" s="472"/>
      <c r="X42" s="473">
        <v>390636.79999999999</v>
      </c>
      <c r="Y42" s="471"/>
      <c r="Z42" s="472"/>
      <c r="AA42" s="474">
        <v>390636.79999999999</v>
      </c>
      <c r="AB42" s="475"/>
      <c r="AC42" s="476"/>
      <c r="AD42" s="477">
        <v>390636.79999999999</v>
      </c>
      <c r="AE42" s="478"/>
      <c r="AF42" s="476"/>
      <c r="AG42" s="477">
        <v>390636.79999999999</v>
      </c>
      <c r="AH42" s="478"/>
      <c r="AI42" s="476"/>
      <c r="AJ42" s="476">
        <v>390636.79999999999</v>
      </c>
      <c r="AK42" s="259" t="s">
        <v>155</v>
      </c>
      <c r="AL42" s="249" t="s">
        <v>133</v>
      </c>
      <c r="AM42" s="259"/>
      <c r="AN42" s="314"/>
      <c r="AO42" s="305"/>
      <c r="AP42" s="233"/>
      <c r="AQ42" s="306"/>
      <c r="AR42" s="339"/>
    </row>
    <row r="43" spans="1:48" s="35" customFormat="1" ht="116.1" customHeight="1" x14ac:dyDescent="0.25">
      <c r="A43" s="269" t="s">
        <v>109</v>
      </c>
      <c r="B43" s="257"/>
      <c r="C43" s="257" t="s">
        <v>120</v>
      </c>
      <c r="D43" s="258" t="s">
        <v>121</v>
      </c>
      <c r="E43" s="258" t="s">
        <v>100</v>
      </c>
      <c r="F43" s="258" t="s">
        <v>135</v>
      </c>
      <c r="G43" s="258" t="s">
        <v>102</v>
      </c>
      <c r="H43" s="258" t="s">
        <v>123</v>
      </c>
      <c r="I43" s="258" t="s">
        <v>156</v>
      </c>
      <c r="J43" s="258" t="s">
        <v>157</v>
      </c>
      <c r="K43" s="258" t="s">
        <v>158</v>
      </c>
      <c r="L43" s="258">
        <v>4</v>
      </c>
      <c r="M43" s="258"/>
      <c r="N43" s="258" t="s">
        <v>383</v>
      </c>
      <c r="O43" s="258" t="s">
        <v>129</v>
      </c>
      <c r="P43" s="401">
        <f t="shared" si="1"/>
        <v>210000</v>
      </c>
      <c r="Q43" s="243">
        <f t="shared" si="2"/>
        <v>0</v>
      </c>
      <c r="R43" s="244">
        <f t="shared" si="3"/>
        <v>210000</v>
      </c>
      <c r="S43" s="244">
        <f>SUM(AB43:AD43)</f>
        <v>0</v>
      </c>
      <c r="T43" s="244">
        <f t="shared" si="5"/>
        <v>0</v>
      </c>
      <c r="U43" s="245">
        <f t="shared" si="6"/>
        <v>0</v>
      </c>
      <c r="V43" s="471"/>
      <c r="W43" s="472"/>
      <c r="X43" s="473"/>
      <c r="Y43" s="471">
        <v>210000</v>
      </c>
      <c r="Z43" s="472"/>
      <c r="AA43" s="474"/>
      <c r="AB43" s="475"/>
      <c r="AC43" s="476"/>
      <c r="AD43" s="477"/>
      <c r="AE43" s="478"/>
      <c r="AF43" s="476"/>
      <c r="AG43" s="477"/>
      <c r="AH43" s="478"/>
      <c r="AI43" s="476"/>
      <c r="AJ43" s="476"/>
      <c r="AK43" s="259" t="s">
        <v>159</v>
      </c>
      <c r="AL43" s="249" t="s">
        <v>131</v>
      </c>
      <c r="AM43" s="259"/>
      <c r="AN43" s="314"/>
      <c r="AO43" s="305">
        <v>0</v>
      </c>
      <c r="AP43" s="233">
        <v>0</v>
      </c>
      <c r="AQ43" s="306">
        <v>0</v>
      </c>
      <c r="AR43" s="339" t="s">
        <v>384</v>
      </c>
    </row>
    <row r="44" spans="1:48" s="35" customFormat="1" ht="409.5" x14ac:dyDescent="0.25">
      <c r="A44" s="269" t="s">
        <v>109</v>
      </c>
      <c r="B44" s="257" t="s">
        <v>121</v>
      </c>
      <c r="C44" s="257" t="s">
        <v>120</v>
      </c>
      <c r="D44" s="258" t="s">
        <v>121</v>
      </c>
      <c r="E44" s="258" t="s">
        <v>100</v>
      </c>
      <c r="F44" s="258" t="s">
        <v>135</v>
      </c>
      <c r="G44" s="258" t="s">
        <v>143</v>
      </c>
      <c r="H44" s="258" t="s">
        <v>123</v>
      </c>
      <c r="I44" s="258" t="s">
        <v>156</v>
      </c>
      <c r="J44" s="258" t="s">
        <v>160</v>
      </c>
      <c r="K44" s="258" t="s">
        <v>158</v>
      </c>
      <c r="L44" s="258"/>
      <c r="M44" s="258"/>
      <c r="N44" s="258"/>
      <c r="O44" s="258" t="s">
        <v>118</v>
      </c>
      <c r="P44" s="401">
        <f t="shared" si="1"/>
        <v>141000</v>
      </c>
      <c r="Q44" s="243">
        <f t="shared" si="2"/>
        <v>0</v>
      </c>
      <c r="R44" s="244">
        <f t="shared" si="3"/>
        <v>0</v>
      </c>
      <c r="S44" s="244">
        <f t="shared" si="4"/>
        <v>47000</v>
      </c>
      <c r="T44" s="244">
        <f t="shared" si="5"/>
        <v>47000</v>
      </c>
      <c r="U44" s="245">
        <f t="shared" si="6"/>
        <v>47000</v>
      </c>
      <c r="V44" s="471"/>
      <c r="W44" s="472"/>
      <c r="X44" s="473"/>
      <c r="Y44" s="471"/>
      <c r="Z44" s="472"/>
      <c r="AA44" s="474"/>
      <c r="AB44" s="475"/>
      <c r="AC44" s="476"/>
      <c r="AD44" s="477">
        <v>47000</v>
      </c>
      <c r="AE44" s="478"/>
      <c r="AF44" s="476"/>
      <c r="AG44" s="477">
        <v>47000</v>
      </c>
      <c r="AH44" s="478"/>
      <c r="AI44" s="476"/>
      <c r="AJ44" s="476">
        <v>47000</v>
      </c>
      <c r="AK44" s="259" t="s">
        <v>159</v>
      </c>
      <c r="AL44" s="249" t="s">
        <v>133</v>
      </c>
      <c r="AM44" s="259"/>
      <c r="AN44" s="314"/>
      <c r="AO44" s="305"/>
      <c r="AP44" s="233"/>
      <c r="AQ44" s="306"/>
      <c r="AR44" s="339"/>
    </row>
    <row r="45" spans="1:48" s="35" customFormat="1" ht="409.5" x14ac:dyDescent="0.25">
      <c r="A45" s="269" t="s">
        <v>109</v>
      </c>
      <c r="B45" s="257"/>
      <c r="C45" s="257" t="s">
        <v>120</v>
      </c>
      <c r="D45" s="258" t="s">
        <v>121</v>
      </c>
      <c r="E45" s="258" t="s">
        <v>100</v>
      </c>
      <c r="F45" s="258" t="s">
        <v>135</v>
      </c>
      <c r="G45" s="258" t="s">
        <v>102</v>
      </c>
      <c r="H45" s="258" t="s">
        <v>123</v>
      </c>
      <c r="I45" s="258" t="s">
        <v>161</v>
      </c>
      <c r="J45" s="258" t="s">
        <v>385</v>
      </c>
      <c r="K45" s="258" t="s">
        <v>163</v>
      </c>
      <c r="L45" s="258"/>
      <c r="M45" s="258"/>
      <c r="N45" s="258" t="s">
        <v>164</v>
      </c>
      <c r="O45" s="258" t="s">
        <v>129</v>
      </c>
      <c r="P45" s="401">
        <f t="shared" si="1"/>
        <v>300000</v>
      </c>
      <c r="Q45" s="243">
        <f t="shared" si="2"/>
        <v>0</v>
      </c>
      <c r="R45" s="244">
        <f t="shared" si="3"/>
        <v>300000</v>
      </c>
      <c r="S45" s="244">
        <f t="shared" si="4"/>
        <v>0</v>
      </c>
      <c r="T45" s="244">
        <f t="shared" si="5"/>
        <v>0</v>
      </c>
      <c r="U45" s="245">
        <f t="shared" si="6"/>
        <v>0</v>
      </c>
      <c r="V45" s="471"/>
      <c r="W45" s="472"/>
      <c r="X45" s="473"/>
      <c r="Y45" s="471">
        <v>300000</v>
      </c>
      <c r="Z45" s="472"/>
      <c r="AA45" s="474"/>
      <c r="AB45" s="475"/>
      <c r="AC45" s="476"/>
      <c r="AD45" s="477"/>
      <c r="AE45" s="478"/>
      <c r="AF45" s="476"/>
      <c r="AG45" s="477"/>
      <c r="AH45" s="478"/>
      <c r="AI45" s="476"/>
      <c r="AJ45" s="476"/>
      <c r="AK45" s="259" t="s">
        <v>159</v>
      </c>
      <c r="AL45" s="249" t="s">
        <v>131</v>
      </c>
      <c r="AM45" s="259"/>
      <c r="AN45" s="314"/>
      <c r="AO45" s="305">
        <v>0</v>
      </c>
      <c r="AP45" s="233">
        <v>0</v>
      </c>
      <c r="AQ45" s="306">
        <v>0</v>
      </c>
      <c r="AR45" s="339" t="s">
        <v>386</v>
      </c>
    </row>
    <row r="46" spans="1:48" s="19" customFormat="1" ht="409.5" x14ac:dyDescent="0.25">
      <c r="A46" s="269" t="s">
        <v>109</v>
      </c>
      <c r="B46" s="257" t="s">
        <v>121</v>
      </c>
      <c r="C46" s="257" t="s">
        <v>120</v>
      </c>
      <c r="D46" s="258" t="s">
        <v>121</v>
      </c>
      <c r="E46" s="258" t="s">
        <v>100</v>
      </c>
      <c r="F46" s="258" t="s">
        <v>135</v>
      </c>
      <c r="G46" s="258" t="s">
        <v>143</v>
      </c>
      <c r="H46" s="258" t="s">
        <v>123</v>
      </c>
      <c r="I46" s="258" t="s">
        <v>161</v>
      </c>
      <c r="J46" s="258" t="s">
        <v>165</v>
      </c>
      <c r="K46" s="258" t="s">
        <v>163</v>
      </c>
      <c r="L46" s="258"/>
      <c r="M46" s="258"/>
      <c r="N46" s="258"/>
      <c r="O46" s="258" t="s">
        <v>118</v>
      </c>
      <c r="P46" s="401">
        <f t="shared" si="1"/>
        <v>219300</v>
      </c>
      <c r="Q46" s="243">
        <f t="shared" si="2"/>
        <v>0</v>
      </c>
      <c r="R46" s="244">
        <f t="shared" si="3"/>
        <v>0</v>
      </c>
      <c r="S46" s="244">
        <f t="shared" si="4"/>
        <v>73100</v>
      </c>
      <c r="T46" s="244">
        <f t="shared" si="5"/>
        <v>73100</v>
      </c>
      <c r="U46" s="245">
        <f t="shared" si="6"/>
        <v>73100</v>
      </c>
      <c r="V46" s="471"/>
      <c r="W46" s="472"/>
      <c r="X46" s="473"/>
      <c r="Y46" s="471"/>
      <c r="Z46" s="472"/>
      <c r="AA46" s="474"/>
      <c r="AB46" s="475"/>
      <c r="AC46" s="476">
        <v>25700</v>
      </c>
      <c r="AD46" s="477">
        <v>47400</v>
      </c>
      <c r="AE46" s="478"/>
      <c r="AF46" s="476">
        <v>25700</v>
      </c>
      <c r="AG46" s="477">
        <v>47400</v>
      </c>
      <c r="AH46" s="478"/>
      <c r="AI46" s="476">
        <v>25700</v>
      </c>
      <c r="AJ46" s="476">
        <v>47400</v>
      </c>
      <c r="AK46" s="259" t="s">
        <v>159</v>
      </c>
      <c r="AL46" s="249" t="s">
        <v>133</v>
      </c>
      <c r="AM46" s="259"/>
      <c r="AN46" s="314"/>
      <c r="AO46" s="305"/>
      <c r="AP46" s="233"/>
      <c r="AQ46" s="306"/>
      <c r="AR46" s="339"/>
    </row>
    <row r="47" spans="1:48" s="19" customFormat="1" ht="180" x14ac:dyDescent="0.25">
      <c r="A47" s="269" t="s">
        <v>109</v>
      </c>
      <c r="B47" s="257"/>
      <c r="C47" s="257" t="s">
        <v>166</v>
      </c>
      <c r="D47" s="258" t="s">
        <v>167</v>
      </c>
      <c r="E47" s="258" t="s">
        <v>100</v>
      </c>
      <c r="F47" s="258" t="s">
        <v>135</v>
      </c>
      <c r="G47" s="258" t="s">
        <v>112</v>
      </c>
      <c r="H47" s="258" t="s">
        <v>168</v>
      </c>
      <c r="I47" s="258" t="s">
        <v>169</v>
      </c>
      <c r="J47" s="258" t="s">
        <v>387</v>
      </c>
      <c r="K47" s="258" t="s">
        <v>388</v>
      </c>
      <c r="L47" s="258"/>
      <c r="M47" s="258"/>
      <c r="N47" s="258"/>
      <c r="O47" s="258" t="s">
        <v>129</v>
      </c>
      <c r="P47" s="401">
        <f t="shared" si="1"/>
        <v>1469800</v>
      </c>
      <c r="Q47" s="243">
        <f t="shared" si="2"/>
        <v>141400</v>
      </c>
      <c r="R47" s="244">
        <f t="shared" si="3"/>
        <v>761400</v>
      </c>
      <c r="S47" s="244">
        <f t="shared" si="4"/>
        <v>567000</v>
      </c>
      <c r="T47" s="244">
        <f t="shared" si="5"/>
        <v>0</v>
      </c>
      <c r="U47" s="245">
        <f t="shared" si="6"/>
        <v>0</v>
      </c>
      <c r="V47" s="471"/>
      <c r="W47" s="472"/>
      <c r="X47" s="473">
        <v>141400</v>
      </c>
      <c r="Y47" s="471"/>
      <c r="Z47" s="472"/>
      <c r="AA47" s="474">
        <v>761400</v>
      </c>
      <c r="AB47" s="475"/>
      <c r="AC47" s="476"/>
      <c r="AD47" s="477">
        <v>567000</v>
      </c>
      <c r="AE47" s="478"/>
      <c r="AF47" s="476"/>
      <c r="AG47" s="477"/>
      <c r="AH47" s="478"/>
      <c r="AI47" s="476"/>
      <c r="AJ47" s="476"/>
      <c r="AK47" s="259" t="s">
        <v>173</v>
      </c>
      <c r="AL47" s="249" t="s">
        <v>174</v>
      </c>
      <c r="AM47" s="259"/>
      <c r="AN47" s="314"/>
      <c r="AO47" s="305">
        <v>0</v>
      </c>
      <c r="AP47" s="233">
        <v>0</v>
      </c>
      <c r="AQ47" s="306">
        <v>0</v>
      </c>
      <c r="AR47" s="339" t="s">
        <v>389</v>
      </c>
    </row>
    <row r="48" spans="1:48" s="35" customFormat="1" ht="165" x14ac:dyDescent="0.25">
      <c r="A48" s="269" t="s">
        <v>109</v>
      </c>
      <c r="B48" s="257"/>
      <c r="C48" s="257" t="s">
        <v>120</v>
      </c>
      <c r="D48" s="258" t="s">
        <v>121</v>
      </c>
      <c r="E48" s="258" t="s">
        <v>100</v>
      </c>
      <c r="F48" s="258" t="s">
        <v>135</v>
      </c>
      <c r="G48" s="258" t="s">
        <v>112</v>
      </c>
      <c r="H48" s="258" t="s">
        <v>168</v>
      </c>
      <c r="I48" s="258" t="s">
        <v>175</v>
      </c>
      <c r="J48" s="258" t="s">
        <v>390</v>
      </c>
      <c r="K48" s="258" t="s">
        <v>391</v>
      </c>
      <c r="L48" s="258"/>
      <c r="M48" s="258"/>
      <c r="N48" s="258"/>
      <c r="O48" s="258" t="s">
        <v>129</v>
      </c>
      <c r="P48" s="401">
        <f t="shared" si="1"/>
        <v>550000</v>
      </c>
      <c r="Q48" s="243">
        <f t="shared" si="2"/>
        <v>25000</v>
      </c>
      <c r="R48" s="244">
        <f t="shared" si="3"/>
        <v>275000</v>
      </c>
      <c r="S48" s="244">
        <f t="shared" si="4"/>
        <v>250000</v>
      </c>
      <c r="T48" s="244">
        <f t="shared" si="5"/>
        <v>0</v>
      </c>
      <c r="U48" s="245">
        <f t="shared" si="6"/>
        <v>0</v>
      </c>
      <c r="V48" s="471"/>
      <c r="W48" s="472"/>
      <c r="X48" s="473">
        <v>25000</v>
      </c>
      <c r="Y48" s="471"/>
      <c r="Z48" s="472"/>
      <c r="AA48" s="474">
        <v>275000</v>
      </c>
      <c r="AB48" s="475"/>
      <c r="AC48" s="476"/>
      <c r="AD48" s="477">
        <v>250000</v>
      </c>
      <c r="AE48" s="478"/>
      <c r="AF48" s="476"/>
      <c r="AG48" s="477"/>
      <c r="AH48" s="478"/>
      <c r="AI48" s="476"/>
      <c r="AJ48" s="476"/>
      <c r="AK48" s="259" t="s">
        <v>173</v>
      </c>
      <c r="AL48" s="249" t="s">
        <v>174</v>
      </c>
      <c r="AM48" s="259"/>
      <c r="AN48" s="314"/>
      <c r="AO48" s="305">
        <v>0</v>
      </c>
      <c r="AP48" s="233">
        <v>0</v>
      </c>
      <c r="AQ48" s="306">
        <v>0</v>
      </c>
      <c r="AR48" s="339" t="s">
        <v>392</v>
      </c>
    </row>
    <row r="49" spans="1:44" s="19" customFormat="1" ht="90" x14ac:dyDescent="0.25">
      <c r="A49" s="269" t="s">
        <v>109</v>
      </c>
      <c r="B49" s="257"/>
      <c r="C49" s="257" t="s">
        <v>178</v>
      </c>
      <c r="D49" s="258" t="s">
        <v>179</v>
      </c>
      <c r="E49" s="258" t="s">
        <v>100</v>
      </c>
      <c r="F49" s="258" t="s">
        <v>180</v>
      </c>
      <c r="G49" s="258" t="s">
        <v>143</v>
      </c>
      <c r="H49" s="258" t="s">
        <v>168</v>
      </c>
      <c r="I49" s="258" t="s">
        <v>181</v>
      </c>
      <c r="J49" s="258" t="s">
        <v>182</v>
      </c>
      <c r="K49" s="258" t="s">
        <v>183</v>
      </c>
      <c r="L49" s="258"/>
      <c r="M49" s="258"/>
      <c r="N49" s="258"/>
      <c r="O49" s="258" t="s">
        <v>118</v>
      </c>
      <c r="P49" s="401">
        <f t="shared" si="1"/>
        <v>0</v>
      </c>
      <c r="Q49" s="243">
        <f t="shared" si="2"/>
        <v>0</v>
      </c>
      <c r="R49" s="244">
        <f t="shared" si="3"/>
        <v>0</v>
      </c>
      <c r="S49" s="244">
        <f t="shared" si="4"/>
        <v>0</v>
      </c>
      <c r="T49" s="244">
        <f t="shared" si="5"/>
        <v>0</v>
      </c>
      <c r="U49" s="245">
        <f t="shared" si="6"/>
        <v>0</v>
      </c>
      <c r="V49" s="471"/>
      <c r="W49" s="472"/>
      <c r="X49" s="473"/>
      <c r="Y49" s="471"/>
      <c r="Z49" s="472"/>
      <c r="AA49" s="474"/>
      <c r="AB49" s="475"/>
      <c r="AC49" s="476"/>
      <c r="AD49" s="477"/>
      <c r="AE49" s="478"/>
      <c r="AF49" s="476"/>
      <c r="AG49" s="477"/>
      <c r="AH49" s="478"/>
      <c r="AI49" s="476"/>
      <c r="AJ49" s="476"/>
      <c r="AK49" s="259" t="s">
        <v>184</v>
      </c>
      <c r="AL49" s="249" t="s">
        <v>174</v>
      </c>
      <c r="AM49" s="259"/>
      <c r="AN49" s="314"/>
      <c r="AO49" s="305"/>
      <c r="AP49" s="233">
        <v>0</v>
      </c>
      <c r="AQ49" s="306">
        <v>0</v>
      </c>
      <c r="AR49" s="339" t="s">
        <v>393</v>
      </c>
    </row>
    <row r="50" spans="1:44" s="35" customFormat="1" ht="105" x14ac:dyDescent="0.25">
      <c r="A50" s="269" t="s">
        <v>109</v>
      </c>
      <c r="B50" s="257"/>
      <c r="C50" s="257" t="s">
        <v>185</v>
      </c>
      <c r="D50" s="258" t="s">
        <v>96</v>
      </c>
      <c r="E50" s="258" t="s">
        <v>100</v>
      </c>
      <c r="F50" s="258" t="s">
        <v>135</v>
      </c>
      <c r="G50" s="258" t="s">
        <v>102</v>
      </c>
      <c r="H50" s="258" t="s">
        <v>168</v>
      </c>
      <c r="I50" s="258" t="s">
        <v>394</v>
      </c>
      <c r="J50" s="258" t="s">
        <v>395</v>
      </c>
      <c r="K50" s="258" t="s">
        <v>396</v>
      </c>
      <c r="L50" s="258"/>
      <c r="M50" s="258"/>
      <c r="N50" s="258"/>
      <c r="O50" s="258" t="s">
        <v>118</v>
      </c>
      <c r="P50" s="401">
        <f t="shared" si="1"/>
        <v>150000</v>
      </c>
      <c r="Q50" s="243">
        <f t="shared" si="2"/>
        <v>30000</v>
      </c>
      <c r="R50" s="244">
        <f t="shared" si="3"/>
        <v>60000</v>
      </c>
      <c r="S50" s="244">
        <f t="shared" si="4"/>
        <v>60000</v>
      </c>
      <c r="T50" s="244">
        <f t="shared" si="5"/>
        <v>0</v>
      </c>
      <c r="U50" s="245">
        <f t="shared" si="6"/>
        <v>0</v>
      </c>
      <c r="V50" s="471"/>
      <c r="W50" s="472">
        <v>30000</v>
      </c>
      <c r="X50" s="473"/>
      <c r="Y50" s="471"/>
      <c r="Z50" s="472">
        <v>60000</v>
      </c>
      <c r="AA50" s="474"/>
      <c r="AB50" s="475"/>
      <c r="AC50" s="476">
        <v>60000</v>
      </c>
      <c r="AD50" s="477"/>
      <c r="AE50" s="478"/>
      <c r="AF50" s="476"/>
      <c r="AG50" s="477"/>
      <c r="AH50" s="478"/>
      <c r="AI50" s="476"/>
      <c r="AJ50" s="476"/>
      <c r="AK50" s="259" t="s">
        <v>397</v>
      </c>
      <c r="AL50" s="249" t="s">
        <v>174</v>
      </c>
      <c r="AM50" s="259"/>
      <c r="AN50" s="314"/>
      <c r="AO50" s="305">
        <v>0</v>
      </c>
      <c r="AP50" s="233">
        <v>0</v>
      </c>
      <c r="AQ50" s="306">
        <v>0</v>
      </c>
      <c r="AR50" s="339" t="s">
        <v>398</v>
      </c>
    </row>
    <row r="51" spans="1:44" s="35" customFormat="1" ht="409.5" x14ac:dyDescent="0.25">
      <c r="A51" s="269" t="s">
        <v>109</v>
      </c>
      <c r="B51" s="257"/>
      <c r="C51" s="257" t="s">
        <v>120</v>
      </c>
      <c r="D51" s="258" t="s">
        <v>121</v>
      </c>
      <c r="E51" s="258" t="s">
        <v>100</v>
      </c>
      <c r="F51" s="258" t="s">
        <v>186</v>
      </c>
      <c r="G51" s="258" t="s">
        <v>102</v>
      </c>
      <c r="H51" s="258" t="s">
        <v>123</v>
      </c>
      <c r="I51" s="258" t="s">
        <v>187</v>
      </c>
      <c r="J51" s="258" t="s">
        <v>188</v>
      </c>
      <c r="K51" s="258" t="s">
        <v>189</v>
      </c>
      <c r="L51" s="258"/>
      <c r="M51" s="258"/>
      <c r="N51" s="258"/>
      <c r="O51" s="258" t="s">
        <v>129</v>
      </c>
      <c r="P51" s="401">
        <f t="shared" si="1"/>
        <v>200000</v>
      </c>
      <c r="Q51" s="243">
        <f t="shared" si="2"/>
        <v>0</v>
      </c>
      <c r="R51" s="244">
        <f t="shared" si="3"/>
        <v>200000</v>
      </c>
      <c r="S51" s="244">
        <f t="shared" si="4"/>
        <v>0</v>
      </c>
      <c r="T51" s="244">
        <f t="shared" si="5"/>
        <v>0</v>
      </c>
      <c r="U51" s="245">
        <f t="shared" si="6"/>
        <v>0</v>
      </c>
      <c r="V51" s="471"/>
      <c r="W51" s="472"/>
      <c r="X51" s="473"/>
      <c r="Y51" s="471">
        <v>200000</v>
      </c>
      <c r="Z51" s="472"/>
      <c r="AA51" s="474"/>
      <c r="AB51" s="475"/>
      <c r="AC51" s="476"/>
      <c r="AD51" s="477"/>
      <c r="AE51" s="478"/>
      <c r="AF51" s="476"/>
      <c r="AG51" s="477"/>
      <c r="AH51" s="478"/>
      <c r="AI51" s="476"/>
      <c r="AJ51" s="476"/>
      <c r="AK51" s="259" t="s">
        <v>159</v>
      </c>
      <c r="AL51" s="249" t="s">
        <v>131</v>
      </c>
      <c r="AM51" s="259"/>
      <c r="AN51" s="314"/>
      <c r="AO51" s="305">
        <v>0</v>
      </c>
      <c r="AP51" s="233">
        <v>0</v>
      </c>
      <c r="AQ51" s="306">
        <v>0</v>
      </c>
      <c r="AR51" s="339" t="s">
        <v>399</v>
      </c>
    </row>
    <row r="52" spans="1:44" s="35" customFormat="1" ht="409.5" x14ac:dyDescent="0.25">
      <c r="A52" s="269" t="s">
        <v>109</v>
      </c>
      <c r="B52" s="257" t="s">
        <v>121</v>
      </c>
      <c r="C52" s="257" t="s">
        <v>120</v>
      </c>
      <c r="D52" s="258" t="s">
        <v>121</v>
      </c>
      <c r="E52" s="258" t="s">
        <v>100</v>
      </c>
      <c r="F52" s="258" t="s">
        <v>186</v>
      </c>
      <c r="G52" s="258" t="s">
        <v>143</v>
      </c>
      <c r="H52" s="258" t="s">
        <v>123</v>
      </c>
      <c r="I52" s="258" t="s">
        <v>187</v>
      </c>
      <c r="J52" s="258" t="s">
        <v>190</v>
      </c>
      <c r="K52" s="258" t="s">
        <v>189</v>
      </c>
      <c r="L52" s="258"/>
      <c r="M52" s="258"/>
      <c r="N52" s="258"/>
      <c r="O52" s="258" t="s">
        <v>118</v>
      </c>
      <c r="P52" s="401">
        <f t="shared" si="1"/>
        <v>315000</v>
      </c>
      <c r="Q52" s="243">
        <f t="shared" si="2"/>
        <v>0</v>
      </c>
      <c r="R52" s="244">
        <f t="shared" si="3"/>
        <v>0</v>
      </c>
      <c r="S52" s="244">
        <f t="shared" si="4"/>
        <v>105000</v>
      </c>
      <c r="T52" s="244">
        <f t="shared" si="5"/>
        <v>105000</v>
      </c>
      <c r="U52" s="245">
        <f t="shared" si="6"/>
        <v>105000</v>
      </c>
      <c r="V52" s="471"/>
      <c r="W52" s="472"/>
      <c r="X52" s="473"/>
      <c r="Y52" s="471"/>
      <c r="Z52" s="472"/>
      <c r="AA52" s="474"/>
      <c r="AB52" s="475"/>
      <c r="AC52" s="476">
        <v>45000</v>
      </c>
      <c r="AD52" s="477">
        <v>60000</v>
      </c>
      <c r="AE52" s="478"/>
      <c r="AF52" s="476">
        <v>45000</v>
      </c>
      <c r="AG52" s="477">
        <v>60000</v>
      </c>
      <c r="AH52" s="478"/>
      <c r="AI52" s="476">
        <v>45000</v>
      </c>
      <c r="AJ52" s="476">
        <v>60000</v>
      </c>
      <c r="AK52" s="259" t="s">
        <v>159</v>
      </c>
      <c r="AL52" s="249" t="s">
        <v>133</v>
      </c>
      <c r="AM52" s="259"/>
      <c r="AN52" s="314"/>
      <c r="AO52" s="305"/>
      <c r="AP52" s="233"/>
      <c r="AQ52" s="306"/>
      <c r="AR52" s="339"/>
    </row>
    <row r="53" spans="1:44" s="19" customFormat="1" ht="120" x14ac:dyDescent="0.25">
      <c r="A53" s="269" t="s">
        <v>109</v>
      </c>
      <c r="B53" s="257" t="s">
        <v>96</v>
      </c>
      <c r="C53" s="257" t="s">
        <v>120</v>
      </c>
      <c r="D53" s="258" t="s">
        <v>121</v>
      </c>
      <c r="E53" s="258" t="s">
        <v>100</v>
      </c>
      <c r="F53" s="258" t="s">
        <v>135</v>
      </c>
      <c r="G53" s="258" t="s">
        <v>102</v>
      </c>
      <c r="H53" s="258" t="s">
        <v>123</v>
      </c>
      <c r="I53" s="258" t="s">
        <v>191</v>
      </c>
      <c r="J53" s="258" t="s">
        <v>192</v>
      </c>
      <c r="K53" s="258" t="s">
        <v>193</v>
      </c>
      <c r="L53" s="258"/>
      <c r="M53" s="258"/>
      <c r="N53" s="258"/>
      <c r="O53" s="258" t="s">
        <v>118</v>
      </c>
      <c r="P53" s="401">
        <f t="shared" si="1"/>
        <v>100000</v>
      </c>
      <c r="Q53" s="243">
        <f t="shared" si="2"/>
        <v>100000</v>
      </c>
      <c r="R53" s="244">
        <f t="shared" si="3"/>
        <v>0</v>
      </c>
      <c r="S53" s="244">
        <f t="shared" si="4"/>
        <v>0</v>
      </c>
      <c r="T53" s="244">
        <f t="shared" si="5"/>
        <v>0</v>
      </c>
      <c r="U53" s="245">
        <f t="shared" si="6"/>
        <v>0</v>
      </c>
      <c r="V53" s="471"/>
      <c r="W53" s="472">
        <v>100000</v>
      </c>
      <c r="X53" s="473"/>
      <c r="Y53" s="471"/>
      <c r="Z53" s="472"/>
      <c r="AA53" s="474"/>
      <c r="AB53" s="475"/>
      <c r="AC53" s="476"/>
      <c r="AD53" s="477"/>
      <c r="AE53" s="478"/>
      <c r="AF53" s="476"/>
      <c r="AG53" s="477"/>
      <c r="AH53" s="478"/>
      <c r="AI53" s="476"/>
      <c r="AJ53" s="476"/>
      <c r="AK53" s="259" t="s">
        <v>194</v>
      </c>
      <c r="AL53" s="249" t="s">
        <v>174</v>
      </c>
      <c r="AM53" s="259"/>
      <c r="AN53" s="314"/>
      <c r="AO53" s="305">
        <v>0</v>
      </c>
      <c r="AP53" s="233">
        <v>0</v>
      </c>
      <c r="AQ53" s="306">
        <v>147060</v>
      </c>
      <c r="AR53" s="339" t="s">
        <v>400</v>
      </c>
    </row>
    <row r="54" spans="1:44" s="35" customFormat="1" ht="105" x14ac:dyDescent="0.25">
      <c r="A54" s="269" t="s">
        <v>109</v>
      </c>
      <c r="B54" s="257" t="s">
        <v>96</v>
      </c>
      <c r="C54" s="257" t="s">
        <v>195</v>
      </c>
      <c r="D54" s="258" t="s">
        <v>195</v>
      </c>
      <c r="E54" s="258" t="s">
        <v>100</v>
      </c>
      <c r="F54" s="258" t="s">
        <v>196</v>
      </c>
      <c r="G54" s="258" t="s">
        <v>102</v>
      </c>
      <c r="H54" s="258" t="s">
        <v>197</v>
      </c>
      <c r="I54" s="258" t="s">
        <v>198</v>
      </c>
      <c r="J54" s="258" t="s">
        <v>199</v>
      </c>
      <c r="K54" s="258" t="s">
        <v>200</v>
      </c>
      <c r="L54" s="258"/>
      <c r="M54" s="258"/>
      <c r="N54" s="258"/>
      <c r="O54" s="258" t="s">
        <v>118</v>
      </c>
      <c r="P54" s="401">
        <f t="shared" si="1"/>
        <v>60000</v>
      </c>
      <c r="Q54" s="243">
        <f t="shared" si="2"/>
        <v>60000</v>
      </c>
      <c r="R54" s="244">
        <f t="shared" si="3"/>
        <v>0</v>
      </c>
      <c r="S54" s="244">
        <f t="shared" si="4"/>
        <v>0</v>
      </c>
      <c r="T54" s="244">
        <f t="shared" si="5"/>
        <v>0</v>
      </c>
      <c r="U54" s="245">
        <f t="shared" si="6"/>
        <v>0</v>
      </c>
      <c r="V54" s="471"/>
      <c r="W54" s="472"/>
      <c r="X54" s="473">
        <v>60000</v>
      </c>
      <c r="Y54" s="471"/>
      <c r="Z54" s="472"/>
      <c r="AA54" s="474"/>
      <c r="AB54" s="475"/>
      <c r="AC54" s="476"/>
      <c r="AD54" s="477"/>
      <c r="AE54" s="478"/>
      <c r="AF54" s="476"/>
      <c r="AG54" s="477"/>
      <c r="AH54" s="478"/>
      <c r="AI54" s="476"/>
      <c r="AJ54" s="476"/>
      <c r="AK54" s="259" t="s">
        <v>201</v>
      </c>
      <c r="AL54" s="249" t="s">
        <v>174</v>
      </c>
      <c r="AM54" s="259"/>
      <c r="AN54" s="314"/>
      <c r="AO54" s="305"/>
      <c r="AP54" s="233"/>
      <c r="AQ54" s="306">
        <v>36000</v>
      </c>
      <c r="AR54" s="339" t="s">
        <v>401</v>
      </c>
    </row>
    <row r="55" spans="1:44" s="35" customFormat="1" ht="195" x14ac:dyDescent="0.25">
      <c r="A55" s="269" t="s">
        <v>109</v>
      </c>
      <c r="B55" s="257" t="s">
        <v>96</v>
      </c>
      <c r="C55" s="257" t="s">
        <v>202</v>
      </c>
      <c r="D55" s="258" t="s">
        <v>109</v>
      </c>
      <c r="E55" s="258" t="s">
        <v>100</v>
      </c>
      <c r="F55" s="258" t="s">
        <v>203</v>
      </c>
      <c r="G55" s="258" t="s">
        <v>102</v>
      </c>
      <c r="H55" s="258" t="s">
        <v>204</v>
      </c>
      <c r="I55" s="258" t="s">
        <v>205</v>
      </c>
      <c r="J55" s="258" t="s">
        <v>206</v>
      </c>
      <c r="K55" s="258" t="s">
        <v>207</v>
      </c>
      <c r="L55" s="258"/>
      <c r="M55" s="258"/>
      <c r="N55" s="258"/>
      <c r="O55" s="258" t="s">
        <v>118</v>
      </c>
      <c r="P55" s="401">
        <f t="shared" si="1"/>
        <v>63000</v>
      </c>
      <c r="Q55" s="243">
        <f t="shared" si="2"/>
        <v>63000</v>
      </c>
      <c r="R55" s="244">
        <f t="shared" si="3"/>
        <v>0</v>
      </c>
      <c r="S55" s="244">
        <f t="shared" si="4"/>
        <v>0</v>
      </c>
      <c r="T55" s="244">
        <f t="shared" si="5"/>
        <v>0</v>
      </c>
      <c r="U55" s="245">
        <f t="shared" si="6"/>
        <v>0</v>
      </c>
      <c r="V55" s="471"/>
      <c r="W55" s="472"/>
      <c r="X55" s="473">
        <v>63000</v>
      </c>
      <c r="Y55" s="471"/>
      <c r="Z55" s="472"/>
      <c r="AA55" s="474"/>
      <c r="AB55" s="475"/>
      <c r="AC55" s="476"/>
      <c r="AD55" s="477"/>
      <c r="AE55" s="478"/>
      <c r="AF55" s="476"/>
      <c r="AG55" s="477"/>
      <c r="AH55" s="478"/>
      <c r="AI55" s="476"/>
      <c r="AJ55" s="476"/>
      <c r="AK55" s="259" t="s">
        <v>208</v>
      </c>
      <c r="AL55" s="249" t="s">
        <v>153</v>
      </c>
      <c r="AM55" s="259"/>
      <c r="AN55" s="314"/>
      <c r="AO55" s="305"/>
      <c r="AP55" s="233"/>
      <c r="AQ55" s="306">
        <v>63000</v>
      </c>
      <c r="AR55" s="339" t="s">
        <v>402</v>
      </c>
    </row>
    <row r="56" spans="1:44" s="19" customFormat="1" ht="105" x14ac:dyDescent="0.25">
      <c r="A56" s="269" t="s">
        <v>109</v>
      </c>
      <c r="B56" s="257" t="s">
        <v>96</v>
      </c>
      <c r="C56" s="257" t="s">
        <v>209</v>
      </c>
      <c r="D56" s="258" t="s">
        <v>209</v>
      </c>
      <c r="E56" s="258" t="s">
        <v>100</v>
      </c>
      <c r="F56" s="258" t="s">
        <v>196</v>
      </c>
      <c r="G56" s="258" t="s">
        <v>102</v>
      </c>
      <c r="H56" s="258" t="s">
        <v>210</v>
      </c>
      <c r="I56" s="258" t="s">
        <v>211</v>
      </c>
      <c r="J56" s="258" t="s">
        <v>212</v>
      </c>
      <c r="K56" s="258" t="s">
        <v>213</v>
      </c>
      <c r="L56" s="258"/>
      <c r="M56" s="258"/>
      <c r="N56" s="258"/>
      <c r="O56" s="258" t="s">
        <v>118</v>
      </c>
      <c r="P56" s="401">
        <f t="shared" si="1"/>
        <v>0</v>
      </c>
      <c r="Q56" s="243">
        <f t="shared" si="2"/>
        <v>0</v>
      </c>
      <c r="R56" s="244">
        <f t="shared" si="3"/>
        <v>0</v>
      </c>
      <c r="S56" s="244">
        <f t="shared" si="4"/>
        <v>0</v>
      </c>
      <c r="T56" s="244">
        <f t="shared" si="5"/>
        <v>0</v>
      </c>
      <c r="U56" s="245">
        <f t="shared" si="6"/>
        <v>0</v>
      </c>
      <c r="V56" s="471"/>
      <c r="W56" s="472"/>
      <c r="X56" s="473">
        <v>0</v>
      </c>
      <c r="Y56" s="471"/>
      <c r="Z56" s="472"/>
      <c r="AA56" s="474"/>
      <c r="AB56" s="475"/>
      <c r="AC56" s="476"/>
      <c r="AD56" s="477"/>
      <c r="AE56" s="478"/>
      <c r="AF56" s="476"/>
      <c r="AG56" s="477"/>
      <c r="AH56" s="478"/>
      <c r="AI56" s="476"/>
      <c r="AJ56" s="476"/>
      <c r="AK56" s="259" t="s">
        <v>214</v>
      </c>
      <c r="AL56" s="249" t="s">
        <v>174</v>
      </c>
      <c r="AM56" s="259"/>
      <c r="AN56" s="314"/>
      <c r="AO56" s="305">
        <v>0</v>
      </c>
      <c r="AP56" s="233">
        <v>0</v>
      </c>
      <c r="AQ56" s="306">
        <v>0</v>
      </c>
      <c r="AR56" s="339" t="s">
        <v>403</v>
      </c>
    </row>
    <row r="57" spans="1:44" s="35" customFormat="1" ht="255" x14ac:dyDescent="0.25">
      <c r="A57" s="269" t="s">
        <v>109</v>
      </c>
      <c r="B57" s="257"/>
      <c r="C57" s="257" t="s">
        <v>316</v>
      </c>
      <c r="D57" s="258"/>
      <c r="E57" s="258" t="s">
        <v>100</v>
      </c>
      <c r="F57" s="258" t="s">
        <v>203</v>
      </c>
      <c r="G57" s="258" t="s">
        <v>143</v>
      </c>
      <c r="H57" s="258" t="s">
        <v>274</v>
      </c>
      <c r="I57" s="258" t="s">
        <v>404</v>
      </c>
      <c r="J57" s="258" t="s">
        <v>405</v>
      </c>
      <c r="K57" s="258" t="s">
        <v>406</v>
      </c>
      <c r="L57" s="258"/>
      <c r="M57" s="258"/>
      <c r="N57" s="258"/>
      <c r="O57" s="258" t="s">
        <v>338</v>
      </c>
      <c r="P57" s="401">
        <f t="shared" si="1"/>
        <v>4100000</v>
      </c>
      <c r="Q57" s="243">
        <f t="shared" si="2"/>
        <v>0</v>
      </c>
      <c r="R57" s="244">
        <f t="shared" si="3"/>
        <v>950000</v>
      </c>
      <c r="S57" s="244">
        <f t="shared" si="4"/>
        <v>1000000</v>
      </c>
      <c r="T57" s="244">
        <f t="shared" si="5"/>
        <v>1050000</v>
      </c>
      <c r="U57" s="245">
        <f t="shared" si="6"/>
        <v>1100000</v>
      </c>
      <c r="V57" s="471"/>
      <c r="W57" s="472"/>
      <c r="X57" s="473"/>
      <c r="Y57" s="471"/>
      <c r="Z57" s="472">
        <v>385000</v>
      </c>
      <c r="AA57" s="474">
        <v>565000</v>
      </c>
      <c r="AB57" s="475"/>
      <c r="AC57" s="476">
        <v>420000</v>
      </c>
      <c r="AD57" s="477">
        <v>580000</v>
      </c>
      <c r="AE57" s="478"/>
      <c r="AF57" s="476">
        <v>455000</v>
      </c>
      <c r="AG57" s="477">
        <v>595000</v>
      </c>
      <c r="AH57" s="478"/>
      <c r="AI57" s="476">
        <v>490000</v>
      </c>
      <c r="AJ57" s="476">
        <v>610000</v>
      </c>
      <c r="AK57" s="259" t="s">
        <v>221</v>
      </c>
      <c r="AL57" s="249" t="s">
        <v>133</v>
      </c>
      <c r="AM57" s="259"/>
      <c r="AN57" s="314"/>
      <c r="AO57" s="305">
        <v>0</v>
      </c>
      <c r="AP57" s="233">
        <v>0</v>
      </c>
      <c r="AQ57" s="306">
        <v>0</v>
      </c>
      <c r="AR57" s="339" t="s">
        <v>407</v>
      </c>
    </row>
    <row r="58" spans="1:44" s="19" customFormat="1" ht="120" x14ac:dyDescent="0.25">
      <c r="A58" s="269" t="s">
        <v>109</v>
      </c>
      <c r="B58" s="257"/>
      <c r="C58" s="257" t="s">
        <v>109</v>
      </c>
      <c r="D58" s="258" t="s">
        <v>96</v>
      </c>
      <c r="E58" s="258" t="s">
        <v>100</v>
      </c>
      <c r="F58" s="258" t="s">
        <v>135</v>
      </c>
      <c r="G58" s="258" t="s">
        <v>102</v>
      </c>
      <c r="H58" s="258" t="s">
        <v>113</v>
      </c>
      <c r="I58" s="258" t="s">
        <v>218</v>
      </c>
      <c r="J58" s="258" t="s">
        <v>219</v>
      </c>
      <c r="K58" s="258" t="s">
        <v>220</v>
      </c>
      <c r="L58" s="258"/>
      <c r="M58" s="258"/>
      <c r="N58" s="258"/>
      <c r="O58" s="258" t="s">
        <v>129</v>
      </c>
      <c r="P58" s="401">
        <f t="shared" si="1"/>
        <v>281435.34999999998</v>
      </c>
      <c r="Q58" s="243">
        <f t="shared" si="2"/>
        <v>28000</v>
      </c>
      <c r="R58" s="244">
        <f t="shared" si="3"/>
        <v>58800</v>
      </c>
      <c r="S58" s="244">
        <f t="shared" si="4"/>
        <v>61740</v>
      </c>
      <c r="T58" s="244">
        <f t="shared" si="5"/>
        <v>64827</v>
      </c>
      <c r="U58" s="245">
        <f t="shared" si="6"/>
        <v>68068.350000000006</v>
      </c>
      <c r="V58" s="471"/>
      <c r="W58" s="472">
        <v>28000</v>
      </c>
      <c r="X58" s="473"/>
      <c r="Y58" s="471"/>
      <c r="Z58" s="472">
        <v>58800</v>
      </c>
      <c r="AA58" s="474"/>
      <c r="AB58" s="475"/>
      <c r="AC58" s="476">
        <v>61740</v>
      </c>
      <c r="AD58" s="477"/>
      <c r="AE58" s="478"/>
      <c r="AF58" s="476">
        <v>64827</v>
      </c>
      <c r="AG58" s="477"/>
      <c r="AH58" s="478"/>
      <c r="AI58" s="476">
        <v>68068.350000000006</v>
      </c>
      <c r="AJ58" s="476"/>
      <c r="AK58" s="259" t="s">
        <v>221</v>
      </c>
      <c r="AL58" s="249" t="s">
        <v>133</v>
      </c>
      <c r="AM58" s="259"/>
      <c r="AN58" s="314"/>
      <c r="AO58" s="305">
        <v>0</v>
      </c>
      <c r="AP58" s="233">
        <v>0</v>
      </c>
      <c r="AQ58" s="306">
        <v>0</v>
      </c>
      <c r="AR58" s="339" t="s">
        <v>408</v>
      </c>
    </row>
    <row r="59" spans="1:44" s="35" customFormat="1" ht="225" x14ac:dyDescent="0.25">
      <c r="A59" s="269" t="s">
        <v>109</v>
      </c>
      <c r="B59" s="257"/>
      <c r="C59" s="257" t="s">
        <v>120</v>
      </c>
      <c r="D59" s="258" t="s">
        <v>121</v>
      </c>
      <c r="E59" s="258" t="s">
        <v>100</v>
      </c>
      <c r="F59" s="258" t="s">
        <v>135</v>
      </c>
      <c r="G59" s="258" t="s">
        <v>102</v>
      </c>
      <c r="H59" s="258" t="s">
        <v>113</v>
      </c>
      <c r="I59" s="258" t="s">
        <v>222</v>
      </c>
      <c r="J59" s="258" t="s">
        <v>219</v>
      </c>
      <c r="K59" s="258" t="s">
        <v>224</v>
      </c>
      <c r="L59" s="258"/>
      <c r="M59" s="258"/>
      <c r="N59" s="258"/>
      <c r="O59" s="258" t="s">
        <v>129</v>
      </c>
      <c r="P59" s="401">
        <f t="shared" si="1"/>
        <v>608102.35</v>
      </c>
      <c r="Q59" s="243">
        <f t="shared" si="2"/>
        <v>60500</v>
      </c>
      <c r="R59" s="244">
        <f t="shared" si="3"/>
        <v>127050</v>
      </c>
      <c r="S59" s="244">
        <f t="shared" si="4"/>
        <v>133403</v>
      </c>
      <c r="T59" s="244">
        <f t="shared" si="5"/>
        <v>140073</v>
      </c>
      <c r="U59" s="245">
        <f t="shared" si="6"/>
        <v>147076.35</v>
      </c>
      <c r="V59" s="471"/>
      <c r="W59" s="472">
        <v>60500</v>
      </c>
      <c r="X59" s="473"/>
      <c r="Y59" s="471"/>
      <c r="Z59" s="472">
        <v>127050</v>
      </c>
      <c r="AA59" s="474"/>
      <c r="AB59" s="475"/>
      <c r="AC59" s="476">
        <v>133403</v>
      </c>
      <c r="AD59" s="477"/>
      <c r="AE59" s="478"/>
      <c r="AF59" s="476">
        <v>140073</v>
      </c>
      <c r="AG59" s="477"/>
      <c r="AH59" s="478"/>
      <c r="AI59" s="476">
        <v>147076.35</v>
      </c>
      <c r="AJ59" s="476"/>
      <c r="AK59" s="259" t="s">
        <v>221</v>
      </c>
      <c r="AL59" s="249" t="s">
        <v>133</v>
      </c>
      <c r="AM59" s="259"/>
      <c r="AN59" s="314"/>
      <c r="AO59" s="305">
        <v>0</v>
      </c>
      <c r="AP59" s="233">
        <v>0</v>
      </c>
      <c r="AQ59" s="306">
        <v>0</v>
      </c>
      <c r="AR59" s="339" t="s">
        <v>409</v>
      </c>
    </row>
    <row r="60" spans="1:44" s="35" customFormat="1" ht="120" x14ac:dyDescent="0.25">
      <c r="A60" s="269" t="s">
        <v>109</v>
      </c>
      <c r="B60" s="257" t="s">
        <v>96</v>
      </c>
      <c r="C60" s="257" t="s">
        <v>410</v>
      </c>
      <c r="D60" s="258" t="s">
        <v>410</v>
      </c>
      <c r="E60" s="258" t="s">
        <v>100</v>
      </c>
      <c r="F60" s="258" t="s">
        <v>203</v>
      </c>
      <c r="G60" s="258" t="s">
        <v>102</v>
      </c>
      <c r="H60" s="258" t="s">
        <v>148</v>
      </c>
      <c r="I60" s="258" t="s">
        <v>411</v>
      </c>
      <c r="J60" s="258" t="s">
        <v>412</v>
      </c>
      <c r="K60" s="258" t="s">
        <v>413</v>
      </c>
      <c r="L60" s="258"/>
      <c r="M60" s="258"/>
      <c r="N60" s="258"/>
      <c r="O60" s="258" t="s">
        <v>118</v>
      </c>
      <c r="P60" s="401">
        <f t="shared" si="1"/>
        <v>154619</v>
      </c>
      <c r="Q60" s="243">
        <f t="shared" si="2"/>
        <v>154619</v>
      </c>
      <c r="R60" s="244">
        <f t="shared" si="3"/>
        <v>0</v>
      </c>
      <c r="S60" s="244">
        <f t="shared" si="4"/>
        <v>0</v>
      </c>
      <c r="T60" s="244">
        <f t="shared" si="5"/>
        <v>0</v>
      </c>
      <c r="U60" s="245">
        <f t="shared" si="6"/>
        <v>0</v>
      </c>
      <c r="V60" s="471">
        <v>154619</v>
      </c>
      <c r="W60" s="472"/>
      <c r="X60" s="473"/>
      <c r="Y60" s="471"/>
      <c r="Z60" s="472"/>
      <c r="AA60" s="474"/>
      <c r="AB60" s="475"/>
      <c r="AC60" s="476"/>
      <c r="AD60" s="477"/>
      <c r="AE60" s="478"/>
      <c r="AF60" s="476"/>
      <c r="AG60" s="477"/>
      <c r="AH60" s="478"/>
      <c r="AI60" s="476"/>
      <c r="AJ60" s="476"/>
      <c r="AK60" s="259" t="s">
        <v>229</v>
      </c>
      <c r="AL60" s="249" t="s">
        <v>153</v>
      </c>
      <c r="AM60" s="259"/>
      <c r="AN60" s="314"/>
      <c r="AO60" s="305">
        <v>154619</v>
      </c>
      <c r="AP60" s="233"/>
      <c r="AQ60" s="306"/>
      <c r="AR60" s="339" t="s">
        <v>414</v>
      </c>
    </row>
    <row r="61" spans="1:44" s="35" customFormat="1" ht="90" x14ac:dyDescent="0.25">
      <c r="A61" s="269" t="s">
        <v>109</v>
      </c>
      <c r="B61" s="257" t="s">
        <v>96</v>
      </c>
      <c r="C61" s="257" t="s">
        <v>110</v>
      </c>
      <c r="D61" s="258" t="s">
        <v>225</v>
      </c>
      <c r="E61" s="258" t="s">
        <v>100</v>
      </c>
      <c r="F61" s="258" t="s">
        <v>231</v>
      </c>
      <c r="G61" s="258" t="s">
        <v>112</v>
      </c>
      <c r="H61" s="258" t="s">
        <v>113</v>
      </c>
      <c r="I61" s="258" t="s">
        <v>232</v>
      </c>
      <c r="J61" s="258" t="s">
        <v>233</v>
      </c>
      <c r="K61" s="258" t="s">
        <v>234</v>
      </c>
      <c r="L61" s="258"/>
      <c r="M61" s="258"/>
      <c r="N61" s="258"/>
      <c r="O61" s="258" t="s">
        <v>118</v>
      </c>
      <c r="P61" s="401">
        <f t="shared" si="1"/>
        <v>0</v>
      </c>
      <c r="Q61" s="243">
        <f t="shared" si="2"/>
        <v>0</v>
      </c>
      <c r="R61" s="244">
        <f t="shared" si="3"/>
        <v>0</v>
      </c>
      <c r="S61" s="244">
        <f t="shared" si="4"/>
        <v>0</v>
      </c>
      <c r="T61" s="244">
        <f t="shared" si="5"/>
        <v>0</v>
      </c>
      <c r="U61" s="245">
        <f t="shared" si="6"/>
        <v>0</v>
      </c>
      <c r="V61" s="471"/>
      <c r="W61" s="472"/>
      <c r="X61" s="473"/>
      <c r="Y61" s="471"/>
      <c r="Z61" s="472"/>
      <c r="AA61" s="474"/>
      <c r="AB61" s="475"/>
      <c r="AC61" s="476"/>
      <c r="AD61" s="477"/>
      <c r="AE61" s="478"/>
      <c r="AF61" s="476"/>
      <c r="AG61" s="477"/>
      <c r="AH61" s="478"/>
      <c r="AI61" s="476"/>
      <c r="AJ61" s="476"/>
      <c r="AK61" s="259" t="s">
        <v>229</v>
      </c>
      <c r="AL61" s="249" t="s">
        <v>133</v>
      </c>
      <c r="AM61" s="259"/>
      <c r="AN61" s="314"/>
      <c r="AO61" s="305">
        <v>0</v>
      </c>
      <c r="AP61" s="233">
        <v>0</v>
      </c>
      <c r="AQ61" s="306">
        <v>0</v>
      </c>
      <c r="AR61" s="339" t="s">
        <v>415</v>
      </c>
    </row>
    <row r="62" spans="1:44" s="35" customFormat="1" ht="105" x14ac:dyDescent="0.25">
      <c r="A62" s="269" t="s">
        <v>109</v>
      </c>
      <c r="B62" s="257" t="s">
        <v>96</v>
      </c>
      <c r="C62" s="257" t="s">
        <v>110</v>
      </c>
      <c r="D62" s="258" t="s">
        <v>225</v>
      </c>
      <c r="E62" s="258" t="s">
        <v>100</v>
      </c>
      <c r="F62" s="258" t="s">
        <v>203</v>
      </c>
      <c r="G62" s="258" t="s">
        <v>102</v>
      </c>
      <c r="H62" s="258" t="s">
        <v>113</v>
      </c>
      <c r="I62" s="258" t="s">
        <v>416</v>
      </c>
      <c r="J62" s="258" t="s">
        <v>417</v>
      </c>
      <c r="K62" s="258" t="s">
        <v>418</v>
      </c>
      <c r="L62" s="258"/>
      <c r="M62" s="258"/>
      <c r="N62" s="258"/>
      <c r="O62" s="258" t="s">
        <v>118</v>
      </c>
      <c r="P62" s="401">
        <f t="shared" si="1"/>
        <v>0</v>
      </c>
      <c r="Q62" s="243">
        <f t="shared" si="2"/>
        <v>0</v>
      </c>
      <c r="R62" s="244">
        <f t="shared" si="3"/>
        <v>0</v>
      </c>
      <c r="S62" s="244">
        <f t="shared" si="4"/>
        <v>0</v>
      </c>
      <c r="T62" s="244">
        <f t="shared" si="5"/>
        <v>0</v>
      </c>
      <c r="U62" s="245">
        <f t="shared" si="6"/>
        <v>0</v>
      </c>
      <c r="V62" s="471"/>
      <c r="W62" s="472"/>
      <c r="X62" s="473"/>
      <c r="Y62" s="471"/>
      <c r="Z62" s="472"/>
      <c r="AA62" s="474"/>
      <c r="AB62" s="475"/>
      <c r="AC62" s="476"/>
      <c r="AD62" s="477"/>
      <c r="AE62" s="478"/>
      <c r="AF62" s="476"/>
      <c r="AG62" s="477"/>
      <c r="AH62" s="478"/>
      <c r="AI62" s="476"/>
      <c r="AJ62" s="476"/>
      <c r="AK62" s="259" t="s">
        <v>229</v>
      </c>
      <c r="AL62" s="249" t="s">
        <v>133</v>
      </c>
      <c r="AM62" s="259"/>
      <c r="AN62" s="314"/>
      <c r="AO62" s="305">
        <v>0</v>
      </c>
      <c r="AP62" s="233">
        <v>0</v>
      </c>
      <c r="AQ62" s="306">
        <v>0</v>
      </c>
      <c r="AR62" s="339" t="s">
        <v>419</v>
      </c>
    </row>
    <row r="63" spans="1:44" s="35" customFormat="1" ht="90" x14ac:dyDescent="0.25">
      <c r="A63" s="269" t="s">
        <v>109</v>
      </c>
      <c r="B63" s="257" t="s">
        <v>96</v>
      </c>
      <c r="C63" s="257" t="s">
        <v>110</v>
      </c>
      <c r="D63" s="258" t="s">
        <v>225</v>
      </c>
      <c r="E63" s="258" t="s">
        <v>100</v>
      </c>
      <c r="F63" s="258" t="s">
        <v>135</v>
      </c>
      <c r="G63" s="258" t="s">
        <v>112</v>
      </c>
      <c r="H63" s="258" t="s">
        <v>113</v>
      </c>
      <c r="I63" s="258" t="s">
        <v>269</v>
      </c>
      <c r="J63" s="258" t="s">
        <v>420</v>
      </c>
      <c r="K63" s="258" t="s">
        <v>421</v>
      </c>
      <c r="L63" s="258"/>
      <c r="M63" s="258"/>
      <c r="N63" s="258"/>
      <c r="O63" s="258" t="s">
        <v>118</v>
      </c>
      <c r="P63" s="401">
        <f t="shared" si="1"/>
        <v>0</v>
      </c>
      <c r="Q63" s="243">
        <f t="shared" si="2"/>
        <v>0</v>
      </c>
      <c r="R63" s="244">
        <f t="shared" si="3"/>
        <v>0</v>
      </c>
      <c r="S63" s="244">
        <f t="shared" si="4"/>
        <v>0</v>
      </c>
      <c r="T63" s="244">
        <f t="shared" si="5"/>
        <v>0</v>
      </c>
      <c r="U63" s="245">
        <f t="shared" si="6"/>
        <v>0</v>
      </c>
      <c r="V63" s="471"/>
      <c r="W63" s="472"/>
      <c r="X63" s="473"/>
      <c r="Y63" s="471"/>
      <c r="Z63" s="472"/>
      <c r="AA63" s="474"/>
      <c r="AB63" s="475"/>
      <c r="AC63" s="476"/>
      <c r="AD63" s="477"/>
      <c r="AE63" s="478"/>
      <c r="AF63" s="476"/>
      <c r="AG63" s="477"/>
      <c r="AH63" s="478"/>
      <c r="AI63" s="476"/>
      <c r="AJ63" s="477"/>
      <c r="AK63" s="259" t="s">
        <v>229</v>
      </c>
      <c r="AL63" s="249" t="s">
        <v>133</v>
      </c>
      <c r="AM63" s="259"/>
      <c r="AN63" s="314"/>
      <c r="AO63" s="305">
        <v>0</v>
      </c>
      <c r="AP63" s="233">
        <v>0</v>
      </c>
      <c r="AQ63" s="306">
        <v>0</v>
      </c>
      <c r="AR63" s="339" t="s">
        <v>422</v>
      </c>
    </row>
    <row r="64" spans="1:44" s="19" customFormat="1" ht="120" x14ac:dyDescent="0.25">
      <c r="A64" s="269" t="s">
        <v>109</v>
      </c>
      <c r="B64" s="257" t="s">
        <v>96</v>
      </c>
      <c r="C64" s="257" t="s">
        <v>110</v>
      </c>
      <c r="D64" s="258" t="s">
        <v>225</v>
      </c>
      <c r="E64" s="258" t="s">
        <v>244</v>
      </c>
      <c r="F64" s="258" t="s">
        <v>245</v>
      </c>
      <c r="G64" s="258" t="s">
        <v>246</v>
      </c>
      <c r="H64" s="258" t="s">
        <v>113</v>
      </c>
      <c r="I64" s="258" t="s">
        <v>247</v>
      </c>
      <c r="J64" s="258" t="s">
        <v>248</v>
      </c>
      <c r="K64" s="258" t="s">
        <v>249</v>
      </c>
      <c r="L64" s="258"/>
      <c r="M64" s="258"/>
      <c r="N64" s="258"/>
      <c r="O64" s="258" t="s">
        <v>118</v>
      </c>
      <c r="P64" s="401">
        <f t="shared" si="1"/>
        <v>0</v>
      </c>
      <c r="Q64" s="243">
        <f t="shared" si="2"/>
        <v>0</v>
      </c>
      <c r="R64" s="244">
        <f t="shared" si="3"/>
        <v>0</v>
      </c>
      <c r="S64" s="244">
        <f t="shared" si="4"/>
        <v>0</v>
      </c>
      <c r="T64" s="244">
        <f t="shared" si="5"/>
        <v>0</v>
      </c>
      <c r="U64" s="245">
        <f t="shared" si="6"/>
        <v>0</v>
      </c>
      <c r="V64" s="471"/>
      <c r="W64" s="472"/>
      <c r="X64" s="473"/>
      <c r="Y64" s="471"/>
      <c r="Z64" s="472"/>
      <c r="AA64" s="474"/>
      <c r="AB64" s="475"/>
      <c r="AC64" s="476"/>
      <c r="AD64" s="477"/>
      <c r="AE64" s="478"/>
      <c r="AF64" s="476"/>
      <c r="AG64" s="477"/>
      <c r="AH64" s="478"/>
      <c r="AI64" s="476"/>
      <c r="AJ64" s="476"/>
      <c r="AK64" s="259" t="s">
        <v>229</v>
      </c>
      <c r="AL64" s="249" t="s">
        <v>133</v>
      </c>
      <c r="AM64" s="259"/>
      <c r="AN64" s="314"/>
      <c r="AO64" s="305">
        <v>0</v>
      </c>
      <c r="AP64" s="233">
        <v>0</v>
      </c>
      <c r="AQ64" s="306">
        <v>0</v>
      </c>
      <c r="AR64" s="339" t="s">
        <v>423</v>
      </c>
    </row>
    <row r="65" spans="1:44" s="19" customFormat="1" ht="165" x14ac:dyDescent="0.25">
      <c r="A65" s="269" t="s">
        <v>109</v>
      </c>
      <c r="B65" s="257" t="s">
        <v>96</v>
      </c>
      <c r="C65" s="257" t="s">
        <v>110</v>
      </c>
      <c r="D65" s="258" t="s">
        <v>225</v>
      </c>
      <c r="E65" s="258" t="s">
        <v>244</v>
      </c>
      <c r="F65" s="258" t="s">
        <v>203</v>
      </c>
      <c r="G65" s="258" t="s">
        <v>143</v>
      </c>
      <c r="H65" s="258" t="s">
        <v>113</v>
      </c>
      <c r="I65" s="258" t="s">
        <v>250</v>
      </c>
      <c r="J65" s="258" t="s">
        <v>251</v>
      </c>
      <c r="K65" s="258" t="s">
        <v>252</v>
      </c>
      <c r="L65" s="258"/>
      <c r="M65" s="258"/>
      <c r="N65" s="258"/>
      <c r="O65" s="258" t="s">
        <v>118</v>
      </c>
      <c r="P65" s="401">
        <f t="shared" si="1"/>
        <v>0</v>
      </c>
      <c r="Q65" s="243">
        <f t="shared" si="2"/>
        <v>0</v>
      </c>
      <c r="R65" s="244">
        <f t="shared" si="3"/>
        <v>0</v>
      </c>
      <c r="S65" s="244">
        <f t="shared" si="4"/>
        <v>0</v>
      </c>
      <c r="T65" s="244">
        <f t="shared" si="5"/>
        <v>0</v>
      </c>
      <c r="U65" s="245">
        <f t="shared" si="6"/>
        <v>0</v>
      </c>
      <c r="V65" s="471"/>
      <c r="W65" s="472"/>
      <c r="X65" s="473"/>
      <c r="Y65" s="471"/>
      <c r="Z65" s="472"/>
      <c r="AA65" s="474"/>
      <c r="AB65" s="475"/>
      <c r="AC65" s="476"/>
      <c r="AD65" s="477"/>
      <c r="AE65" s="478"/>
      <c r="AF65" s="476"/>
      <c r="AG65" s="477"/>
      <c r="AH65" s="478"/>
      <c r="AI65" s="476"/>
      <c r="AJ65" s="476"/>
      <c r="AK65" s="259" t="s">
        <v>229</v>
      </c>
      <c r="AL65" s="249" t="s">
        <v>133</v>
      </c>
      <c r="AM65" s="259"/>
      <c r="AN65" s="314"/>
      <c r="AO65" s="305">
        <v>0</v>
      </c>
      <c r="AP65" s="233">
        <v>0</v>
      </c>
      <c r="AQ65" s="306">
        <v>0</v>
      </c>
      <c r="AR65" s="339" t="s">
        <v>424</v>
      </c>
    </row>
    <row r="66" spans="1:44" s="19" customFormat="1" ht="195" x14ac:dyDescent="0.25">
      <c r="A66" s="269" t="s">
        <v>109</v>
      </c>
      <c r="B66" s="257"/>
      <c r="C66" s="257" t="s">
        <v>110</v>
      </c>
      <c r="D66" s="258" t="s">
        <v>225</v>
      </c>
      <c r="E66" s="258" t="s">
        <v>244</v>
      </c>
      <c r="F66" s="258" t="s">
        <v>203</v>
      </c>
      <c r="G66" s="258" t="s">
        <v>143</v>
      </c>
      <c r="H66" s="258" t="s">
        <v>113</v>
      </c>
      <c r="I66" s="258" t="s">
        <v>253</v>
      </c>
      <c r="J66" s="258" t="s">
        <v>254</v>
      </c>
      <c r="K66" s="258" t="s">
        <v>255</v>
      </c>
      <c r="L66" s="258"/>
      <c r="M66" s="258"/>
      <c r="N66" s="258"/>
      <c r="O66" s="258" t="s">
        <v>118</v>
      </c>
      <c r="P66" s="401">
        <f t="shared" si="1"/>
        <v>0</v>
      </c>
      <c r="Q66" s="243">
        <f t="shared" si="2"/>
        <v>0</v>
      </c>
      <c r="R66" s="244">
        <f t="shared" si="3"/>
        <v>0</v>
      </c>
      <c r="S66" s="244">
        <f t="shared" si="4"/>
        <v>0</v>
      </c>
      <c r="T66" s="244">
        <f t="shared" si="5"/>
        <v>0</v>
      </c>
      <c r="U66" s="245">
        <f t="shared" si="6"/>
        <v>0</v>
      </c>
      <c r="V66" s="471"/>
      <c r="W66" s="472"/>
      <c r="X66" s="473"/>
      <c r="Y66" s="471"/>
      <c r="Z66" s="472"/>
      <c r="AA66" s="474"/>
      <c r="AB66" s="475"/>
      <c r="AC66" s="476"/>
      <c r="AD66" s="477"/>
      <c r="AE66" s="478"/>
      <c r="AF66" s="476"/>
      <c r="AG66" s="477"/>
      <c r="AH66" s="478"/>
      <c r="AI66" s="476"/>
      <c r="AJ66" s="476"/>
      <c r="AK66" s="259" t="s">
        <v>229</v>
      </c>
      <c r="AL66" s="249" t="s">
        <v>153</v>
      </c>
      <c r="AM66" s="312"/>
      <c r="AN66" s="314"/>
      <c r="AO66" s="305">
        <v>0</v>
      </c>
      <c r="AP66" s="233">
        <v>0</v>
      </c>
      <c r="AQ66" s="306">
        <v>0</v>
      </c>
      <c r="AR66" s="339" t="s">
        <v>425</v>
      </c>
    </row>
    <row r="67" spans="1:44" s="19" customFormat="1" ht="90" x14ac:dyDescent="0.25">
      <c r="A67" s="269" t="s">
        <v>109</v>
      </c>
      <c r="B67" s="257" t="s">
        <v>96</v>
      </c>
      <c r="C67" s="257" t="s">
        <v>110</v>
      </c>
      <c r="D67" s="258" t="s">
        <v>225</v>
      </c>
      <c r="E67" s="258" t="s">
        <v>100</v>
      </c>
      <c r="F67" s="258" t="s">
        <v>203</v>
      </c>
      <c r="G67" s="258" t="s">
        <v>112</v>
      </c>
      <c r="H67" s="258" t="s">
        <v>113</v>
      </c>
      <c r="I67" s="258" t="s">
        <v>256</v>
      </c>
      <c r="J67" s="257" t="s">
        <v>257</v>
      </c>
      <c r="K67" s="258" t="s">
        <v>258</v>
      </c>
      <c r="L67" s="258"/>
      <c r="M67" s="258"/>
      <c r="N67" s="258"/>
      <c r="O67" s="258" t="s">
        <v>118</v>
      </c>
      <c r="P67" s="401">
        <f t="shared" ref="P67:P94" si="7">SUM(Q67:U67)</f>
        <v>0</v>
      </c>
      <c r="Q67" s="243">
        <f t="shared" si="2"/>
        <v>0</v>
      </c>
      <c r="R67" s="244">
        <f t="shared" ref="R67:R94" si="8">SUM(Y67:AA67)</f>
        <v>0</v>
      </c>
      <c r="S67" s="244">
        <f t="shared" ref="S67:S94" si="9">SUM(AB67:AD67)</f>
        <v>0</v>
      </c>
      <c r="T67" s="244">
        <f t="shared" ref="T67:T94" si="10">SUM(AE67:AG67)</f>
        <v>0</v>
      </c>
      <c r="U67" s="245">
        <f t="shared" ref="U67:U94" si="11">SUM(AH67:AJ67)</f>
        <v>0</v>
      </c>
      <c r="V67" s="471"/>
      <c r="W67" s="472"/>
      <c r="X67" s="473"/>
      <c r="Y67" s="471"/>
      <c r="Z67" s="472"/>
      <c r="AA67" s="474"/>
      <c r="AB67" s="475"/>
      <c r="AC67" s="476"/>
      <c r="AD67" s="477"/>
      <c r="AE67" s="478"/>
      <c r="AF67" s="476"/>
      <c r="AG67" s="477"/>
      <c r="AH67" s="478"/>
      <c r="AI67" s="476"/>
      <c r="AJ67" s="476"/>
      <c r="AK67" s="259" t="s">
        <v>229</v>
      </c>
      <c r="AL67" s="249" t="s">
        <v>133</v>
      </c>
      <c r="AM67" s="312"/>
      <c r="AN67" s="314"/>
      <c r="AO67" s="305"/>
      <c r="AP67" s="233"/>
      <c r="AQ67" s="306">
        <v>20736</v>
      </c>
      <c r="AR67" s="339" t="s">
        <v>426</v>
      </c>
    </row>
    <row r="68" spans="1:44" s="19" customFormat="1" ht="90" x14ac:dyDescent="0.25">
      <c r="A68" s="269" t="s">
        <v>109</v>
      </c>
      <c r="B68" s="257"/>
      <c r="C68" s="257" t="s">
        <v>110</v>
      </c>
      <c r="D68" s="258" t="s">
        <v>225</v>
      </c>
      <c r="E68" s="258" t="s">
        <v>100</v>
      </c>
      <c r="F68" s="258" t="s">
        <v>245</v>
      </c>
      <c r="G68" s="258" t="s">
        <v>112</v>
      </c>
      <c r="H68" s="260" t="s">
        <v>113</v>
      </c>
      <c r="I68" s="260" t="s">
        <v>260</v>
      </c>
      <c r="J68" s="261" t="s">
        <v>261</v>
      </c>
      <c r="K68" s="260" t="s">
        <v>262</v>
      </c>
      <c r="L68" s="260"/>
      <c r="M68" s="260"/>
      <c r="N68" s="260"/>
      <c r="O68" s="260" t="s">
        <v>118</v>
      </c>
      <c r="P68" s="401">
        <f t="shared" si="7"/>
        <v>0</v>
      </c>
      <c r="Q68" s="243">
        <f t="shared" si="2"/>
        <v>0</v>
      </c>
      <c r="R68" s="244">
        <f t="shared" si="8"/>
        <v>0</v>
      </c>
      <c r="S68" s="244">
        <f t="shared" si="9"/>
        <v>0</v>
      </c>
      <c r="T68" s="244">
        <f t="shared" si="10"/>
        <v>0</v>
      </c>
      <c r="U68" s="245">
        <f t="shared" si="11"/>
        <v>0</v>
      </c>
      <c r="V68" s="471"/>
      <c r="W68" s="472"/>
      <c r="X68" s="473"/>
      <c r="Y68" s="471"/>
      <c r="Z68" s="472"/>
      <c r="AA68" s="474"/>
      <c r="AB68" s="479"/>
      <c r="AC68" s="473"/>
      <c r="AD68" s="474"/>
      <c r="AE68" s="480"/>
      <c r="AF68" s="473"/>
      <c r="AG68" s="474"/>
      <c r="AH68" s="480"/>
      <c r="AI68" s="473"/>
      <c r="AJ68" s="473"/>
      <c r="AK68" s="312" t="s">
        <v>229</v>
      </c>
      <c r="AL68" s="249" t="s">
        <v>133</v>
      </c>
      <c r="AM68" s="312"/>
      <c r="AN68" s="314"/>
      <c r="AO68" s="305">
        <v>0</v>
      </c>
      <c r="AP68" s="233">
        <v>0</v>
      </c>
      <c r="AQ68" s="306">
        <v>0</v>
      </c>
      <c r="AR68" s="339" t="s">
        <v>427</v>
      </c>
    </row>
    <row r="69" spans="1:44" s="19" customFormat="1" ht="165" x14ac:dyDescent="0.25">
      <c r="A69" s="269" t="s">
        <v>109</v>
      </c>
      <c r="B69" s="257" t="s">
        <v>96</v>
      </c>
      <c r="C69" s="257" t="s">
        <v>110</v>
      </c>
      <c r="D69" s="258" t="s">
        <v>110</v>
      </c>
      <c r="E69" s="258" t="s">
        <v>100</v>
      </c>
      <c r="F69" s="258" t="s">
        <v>231</v>
      </c>
      <c r="G69" s="258" t="s">
        <v>112</v>
      </c>
      <c r="H69" s="260" t="s">
        <v>113</v>
      </c>
      <c r="I69" s="260" t="s">
        <v>263</v>
      </c>
      <c r="J69" s="261" t="s">
        <v>264</v>
      </c>
      <c r="K69" s="260" t="s">
        <v>265</v>
      </c>
      <c r="L69" s="260"/>
      <c r="M69" s="260"/>
      <c r="N69" s="260"/>
      <c r="O69" s="260" t="s">
        <v>118</v>
      </c>
      <c r="P69" s="401">
        <f t="shared" si="7"/>
        <v>0</v>
      </c>
      <c r="Q69" s="243">
        <f t="shared" si="2"/>
        <v>0</v>
      </c>
      <c r="R69" s="244">
        <f t="shared" si="8"/>
        <v>0</v>
      </c>
      <c r="S69" s="244">
        <f t="shared" si="9"/>
        <v>0</v>
      </c>
      <c r="T69" s="244">
        <f t="shared" si="10"/>
        <v>0</v>
      </c>
      <c r="U69" s="245">
        <f t="shared" si="11"/>
        <v>0</v>
      </c>
      <c r="V69" s="471"/>
      <c r="W69" s="472"/>
      <c r="X69" s="473"/>
      <c r="Y69" s="471"/>
      <c r="Z69" s="472"/>
      <c r="AA69" s="474"/>
      <c r="AB69" s="479"/>
      <c r="AC69" s="473"/>
      <c r="AD69" s="474"/>
      <c r="AE69" s="480"/>
      <c r="AF69" s="473"/>
      <c r="AG69" s="474"/>
      <c r="AH69" s="480"/>
      <c r="AI69" s="473"/>
      <c r="AJ69" s="473"/>
      <c r="AK69" s="312" t="s">
        <v>229</v>
      </c>
      <c r="AL69" s="249" t="s">
        <v>153</v>
      </c>
      <c r="AM69" s="312"/>
      <c r="AN69" s="314"/>
      <c r="AO69" s="305">
        <v>0</v>
      </c>
      <c r="AP69" s="233">
        <v>0</v>
      </c>
      <c r="AQ69" s="306">
        <v>0</v>
      </c>
      <c r="AR69" s="339" t="s">
        <v>415</v>
      </c>
    </row>
    <row r="70" spans="1:44" s="35" customFormat="1" ht="180" x14ac:dyDescent="0.25">
      <c r="A70" s="269" t="s">
        <v>109</v>
      </c>
      <c r="B70" s="257" t="s">
        <v>96</v>
      </c>
      <c r="C70" s="257" t="s">
        <v>110</v>
      </c>
      <c r="D70" s="258" t="s">
        <v>110</v>
      </c>
      <c r="E70" s="258" t="s">
        <v>100</v>
      </c>
      <c r="F70" s="258" t="s">
        <v>231</v>
      </c>
      <c r="G70" s="258" t="s">
        <v>112</v>
      </c>
      <c r="H70" s="258" t="s">
        <v>113</v>
      </c>
      <c r="I70" s="258" t="s">
        <v>266</v>
      </c>
      <c r="J70" s="268" t="s">
        <v>267</v>
      </c>
      <c r="K70" s="258" t="s">
        <v>268</v>
      </c>
      <c r="L70" s="258"/>
      <c r="M70" s="258"/>
      <c r="N70" s="258"/>
      <c r="O70" s="258" t="s">
        <v>118</v>
      </c>
      <c r="P70" s="401">
        <f t="shared" si="7"/>
        <v>0</v>
      </c>
      <c r="Q70" s="243">
        <f t="shared" si="2"/>
        <v>0</v>
      </c>
      <c r="R70" s="244">
        <f t="shared" si="8"/>
        <v>0</v>
      </c>
      <c r="S70" s="244">
        <f t="shared" si="9"/>
        <v>0</v>
      </c>
      <c r="T70" s="244">
        <f t="shared" si="10"/>
        <v>0</v>
      </c>
      <c r="U70" s="245">
        <f t="shared" si="11"/>
        <v>0</v>
      </c>
      <c r="V70" s="471"/>
      <c r="W70" s="472"/>
      <c r="X70" s="473"/>
      <c r="Y70" s="471"/>
      <c r="Z70" s="472"/>
      <c r="AA70" s="474"/>
      <c r="AB70" s="475"/>
      <c r="AC70" s="476"/>
      <c r="AD70" s="477"/>
      <c r="AE70" s="478"/>
      <c r="AF70" s="476"/>
      <c r="AG70" s="477"/>
      <c r="AH70" s="478"/>
      <c r="AI70" s="476"/>
      <c r="AJ70" s="476"/>
      <c r="AK70" s="259" t="s">
        <v>229</v>
      </c>
      <c r="AL70" s="249" t="s">
        <v>153</v>
      </c>
      <c r="AM70" s="259"/>
      <c r="AN70" s="314"/>
      <c r="AO70" s="305">
        <v>0</v>
      </c>
      <c r="AP70" s="233">
        <v>0</v>
      </c>
      <c r="AQ70" s="306">
        <v>0</v>
      </c>
      <c r="AR70" s="339" t="s">
        <v>428</v>
      </c>
    </row>
    <row r="71" spans="1:44" s="35" customFormat="1" ht="180" x14ac:dyDescent="0.25">
      <c r="A71" s="269" t="s">
        <v>109</v>
      </c>
      <c r="B71" s="257"/>
      <c r="C71" s="257" t="s">
        <v>273</v>
      </c>
      <c r="D71" s="258" t="s">
        <v>273</v>
      </c>
      <c r="E71" s="258" t="s">
        <v>100</v>
      </c>
      <c r="F71" s="258" t="s">
        <v>203</v>
      </c>
      <c r="G71" s="258" t="s">
        <v>102</v>
      </c>
      <c r="H71" s="258" t="s">
        <v>274</v>
      </c>
      <c r="I71" s="258" t="s">
        <v>429</v>
      </c>
      <c r="J71" s="258" t="s">
        <v>430</v>
      </c>
      <c r="K71" s="258" t="s">
        <v>431</v>
      </c>
      <c r="L71" s="258"/>
      <c r="M71" s="258"/>
      <c r="N71" s="258"/>
      <c r="O71" s="258" t="s">
        <v>336</v>
      </c>
      <c r="P71" s="401">
        <f t="shared" si="7"/>
        <v>240000</v>
      </c>
      <c r="Q71" s="243">
        <f t="shared" si="2"/>
        <v>0</v>
      </c>
      <c r="R71" s="244">
        <f t="shared" si="8"/>
        <v>240000</v>
      </c>
      <c r="S71" s="244">
        <f t="shared" si="9"/>
        <v>0</v>
      </c>
      <c r="T71" s="244">
        <f t="shared" si="10"/>
        <v>0</v>
      </c>
      <c r="U71" s="245">
        <f t="shared" si="11"/>
        <v>0</v>
      </c>
      <c r="V71" s="471"/>
      <c r="W71" s="472"/>
      <c r="X71" s="473"/>
      <c r="Y71" s="471">
        <v>240000</v>
      </c>
      <c r="Z71" s="472"/>
      <c r="AA71" s="474"/>
      <c r="AB71" s="475"/>
      <c r="AC71" s="476"/>
      <c r="AD71" s="477">
        <v>0</v>
      </c>
      <c r="AE71" s="478"/>
      <c r="AF71" s="476"/>
      <c r="AG71" s="477">
        <v>0</v>
      </c>
      <c r="AH71" s="478"/>
      <c r="AI71" s="476"/>
      <c r="AJ71" s="477">
        <v>0</v>
      </c>
      <c r="AK71" s="259" t="s">
        <v>432</v>
      </c>
      <c r="AL71" s="249" t="s">
        <v>131</v>
      </c>
      <c r="AM71" s="259"/>
      <c r="AN71" s="314"/>
      <c r="AO71" s="305">
        <v>0</v>
      </c>
      <c r="AP71" s="233">
        <v>0</v>
      </c>
      <c r="AQ71" s="306">
        <v>0</v>
      </c>
      <c r="AR71" s="339" t="s">
        <v>433</v>
      </c>
    </row>
    <row r="72" spans="1:44" s="19" customFormat="1" ht="120" x14ac:dyDescent="0.25">
      <c r="A72" s="269" t="s">
        <v>109</v>
      </c>
      <c r="B72" s="257"/>
      <c r="C72" s="257" t="s">
        <v>273</v>
      </c>
      <c r="D72" s="258" t="s">
        <v>273</v>
      </c>
      <c r="E72" s="258" t="s">
        <v>100</v>
      </c>
      <c r="F72" s="260" t="s">
        <v>203</v>
      </c>
      <c r="G72" s="260" t="s">
        <v>102</v>
      </c>
      <c r="H72" s="260" t="s">
        <v>274</v>
      </c>
      <c r="I72" s="261" t="s">
        <v>275</v>
      </c>
      <c r="J72" s="261" t="s">
        <v>434</v>
      </c>
      <c r="K72" s="261" t="s">
        <v>277</v>
      </c>
      <c r="L72" s="260"/>
      <c r="M72" s="260"/>
      <c r="N72" s="260"/>
      <c r="O72" s="258" t="s">
        <v>336</v>
      </c>
      <c r="P72" s="401">
        <f t="shared" si="7"/>
        <v>500000</v>
      </c>
      <c r="Q72" s="243">
        <f t="shared" si="2"/>
        <v>500000</v>
      </c>
      <c r="R72" s="244">
        <f t="shared" si="8"/>
        <v>0</v>
      </c>
      <c r="S72" s="244">
        <f t="shared" si="9"/>
        <v>0</v>
      </c>
      <c r="T72" s="244">
        <f t="shared" si="10"/>
        <v>0</v>
      </c>
      <c r="U72" s="245">
        <f t="shared" si="11"/>
        <v>0</v>
      </c>
      <c r="V72" s="471">
        <v>500000</v>
      </c>
      <c r="W72" s="472"/>
      <c r="X72" s="473"/>
      <c r="Y72" s="471"/>
      <c r="Z72" s="472"/>
      <c r="AA72" s="474"/>
      <c r="AB72" s="481"/>
      <c r="AC72" s="482"/>
      <c r="AD72" s="483">
        <v>0</v>
      </c>
      <c r="AE72" s="484"/>
      <c r="AF72" s="482"/>
      <c r="AG72" s="483">
        <v>0</v>
      </c>
      <c r="AH72" s="484"/>
      <c r="AI72" s="482"/>
      <c r="AJ72" s="483">
        <v>0</v>
      </c>
      <c r="AK72" s="312" t="s">
        <v>432</v>
      </c>
      <c r="AL72" s="249" t="s">
        <v>131</v>
      </c>
      <c r="AM72" s="312"/>
      <c r="AN72" s="314"/>
      <c r="AO72" s="305">
        <v>0</v>
      </c>
      <c r="AP72" s="233">
        <v>0</v>
      </c>
      <c r="AQ72" s="306">
        <v>0</v>
      </c>
      <c r="AR72" s="339" t="s">
        <v>435</v>
      </c>
    </row>
    <row r="73" spans="1:44" s="19" customFormat="1" ht="105" x14ac:dyDescent="0.25">
      <c r="A73" s="269" t="s">
        <v>109</v>
      </c>
      <c r="B73" s="257"/>
      <c r="C73" s="257" t="s">
        <v>273</v>
      </c>
      <c r="D73" s="258" t="s">
        <v>273</v>
      </c>
      <c r="E73" s="258" t="s">
        <v>100</v>
      </c>
      <c r="F73" s="260" t="s">
        <v>203</v>
      </c>
      <c r="G73" s="260" t="s">
        <v>102</v>
      </c>
      <c r="H73" s="260" t="s">
        <v>274</v>
      </c>
      <c r="I73" s="261" t="s">
        <v>436</v>
      </c>
      <c r="J73" s="261" t="s">
        <v>437</v>
      </c>
      <c r="K73" s="261" t="s">
        <v>438</v>
      </c>
      <c r="L73" s="260"/>
      <c r="M73" s="260"/>
      <c r="N73" s="260"/>
      <c r="O73" s="258" t="s">
        <v>336</v>
      </c>
      <c r="P73" s="401">
        <f t="shared" si="7"/>
        <v>800000</v>
      </c>
      <c r="Q73" s="243">
        <f t="shared" si="2"/>
        <v>0</v>
      </c>
      <c r="R73" s="244">
        <f t="shared" si="8"/>
        <v>800000</v>
      </c>
      <c r="S73" s="244">
        <f t="shared" si="9"/>
        <v>0</v>
      </c>
      <c r="T73" s="244">
        <f t="shared" si="10"/>
        <v>0</v>
      </c>
      <c r="U73" s="245">
        <f t="shared" si="11"/>
        <v>0</v>
      </c>
      <c r="V73" s="471"/>
      <c r="W73" s="472"/>
      <c r="X73" s="473"/>
      <c r="Y73" s="471">
        <v>800000</v>
      </c>
      <c r="Z73" s="472"/>
      <c r="AA73" s="474"/>
      <c r="AB73" s="479"/>
      <c r="AC73" s="473"/>
      <c r="AD73" s="474">
        <v>0</v>
      </c>
      <c r="AE73" s="479"/>
      <c r="AF73" s="473"/>
      <c r="AG73" s="474">
        <v>0</v>
      </c>
      <c r="AH73" s="479"/>
      <c r="AI73" s="473"/>
      <c r="AJ73" s="474">
        <v>0</v>
      </c>
      <c r="AK73" s="312" t="s">
        <v>432</v>
      </c>
      <c r="AL73" s="249" t="s">
        <v>131</v>
      </c>
      <c r="AM73" s="312"/>
      <c r="AN73" s="314"/>
      <c r="AO73" s="305">
        <v>0</v>
      </c>
      <c r="AP73" s="233">
        <v>0</v>
      </c>
      <c r="AQ73" s="306">
        <v>0</v>
      </c>
      <c r="AR73" s="339" t="s">
        <v>435</v>
      </c>
    </row>
    <row r="74" spans="1:44" s="19" customFormat="1" ht="105" x14ac:dyDescent="0.25">
      <c r="A74" s="269" t="s">
        <v>109</v>
      </c>
      <c r="B74" s="257"/>
      <c r="C74" s="257" t="s">
        <v>273</v>
      </c>
      <c r="D74" s="258" t="s">
        <v>273</v>
      </c>
      <c r="E74" s="258" t="s">
        <v>100</v>
      </c>
      <c r="F74" s="260" t="s">
        <v>203</v>
      </c>
      <c r="G74" s="260" t="s">
        <v>102</v>
      </c>
      <c r="H74" s="260" t="s">
        <v>274</v>
      </c>
      <c r="I74" s="261" t="s">
        <v>439</v>
      </c>
      <c r="J74" s="261" t="s">
        <v>440</v>
      </c>
      <c r="K74" s="261" t="s">
        <v>441</v>
      </c>
      <c r="L74" s="260"/>
      <c r="M74" s="260"/>
      <c r="N74" s="260"/>
      <c r="O74" s="258" t="s">
        <v>336</v>
      </c>
      <c r="P74" s="401">
        <f t="shared" si="7"/>
        <v>420000</v>
      </c>
      <c r="Q74" s="243">
        <f t="shared" si="2"/>
        <v>0</v>
      </c>
      <c r="R74" s="244">
        <f t="shared" si="8"/>
        <v>420000</v>
      </c>
      <c r="S74" s="244">
        <f t="shared" si="9"/>
        <v>0</v>
      </c>
      <c r="T74" s="244">
        <f t="shared" si="10"/>
        <v>0</v>
      </c>
      <c r="U74" s="245">
        <f t="shared" si="11"/>
        <v>0</v>
      </c>
      <c r="V74" s="471"/>
      <c r="W74" s="472"/>
      <c r="X74" s="473"/>
      <c r="Y74" s="471">
        <v>420000</v>
      </c>
      <c r="Z74" s="472"/>
      <c r="AA74" s="474"/>
      <c r="AB74" s="479"/>
      <c r="AC74" s="473"/>
      <c r="AD74" s="474">
        <v>0</v>
      </c>
      <c r="AE74" s="479"/>
      <c r="AF74" s="473"/>
      <c r="AG74" s="474">
        <v>0</v>
      </c>
      <c r="AH74" s="479"/>
      <c r="AI74" s="473"/>
      <c r="AJ74" s="474">
        <v>0</v>
      </c>
      <c r="AK74" s="312" t="s">
        <v>432</v>
      </c>
      <c r="AL74" s="249" t="s">
        <v>131</v>
      </c>
      <c r="AM74" s="312"/>
      <c r="AN74" s="314"/>
      <c r="AO74" s="305">
        <v>0</v>
      </c>
      <c r="AP74" s="233">
        <v>0</v>
      </c>
      <c r="AQ74" s="306">
        <v>0</v>
      </c>
      <c r="AR74" s="339" t="s">
        <v>435</v>
      </c>
    </row>
    <row r="75" spans="1:44" s="19" customFormat="1" ht="225" x14ac:dyDescent="0.25">
      <c r="A75" s="269" t="s">
        <v>109</v>
      </c>
      <c r="B75" s="257"/>
      <c r="C75" s="257" t="s">
        <v>273</v>
      </c>
      <c r="D75" s="258" t="s">
        <v>273</v>
      </c>
      <c r="E75" s="258" t="s">
        <v>100</v>
      </c>
      <c r="F75" s="260" t="s">
        <v>203</v>
      </c>
      <c r="G75" s="260" t="s">
        <v>102</v>
      </c>
      <c r="H75" s="260" t="s">
        <v>274</v>
      </c>
      <c r="I75" s="261" t="s">
        <v>282</v>
      </c>
      <c r="J75" s="261" t="s">
        <v>283</v>
      </c>
      <c r="K75" s="261" t="s">
        <v>284</v>
      </c>
      <c r="L75" s="260"/>
      <c r="M75" s="260"/>
      <c r="N75" s="260"/>
      <c r="O75" s="258" t="s">
        <v>336</v>
      </c>
      <c r="P75" s="401">
        <f t="shared" si="7"/>
        <v>500000</v>
      </c>
      <c r="Q75" s="243">
        <f t="shared" si="2"/>
        <v>0</v>
      </c>
      <c r="R75" s="244">
        <f t="shared" si="8"/>
        <v>500000</v>
      </c>
      <c r="S75" s="244">
        <f t="shared" si="9"/>
        <v>0</v>
      </c>
      <c r="T75" s="244">
        <f t="shared" si="10"/>
        <v>0</v>
      </c>
      <c r="U75" s="245">
        <f t="shared" si="11"/>
        <v>0</v>
      </c>
      <c r="V75" s="471"/>
      <c r="W75" s="472"/>
      <c r="X75" s="473"/>
      <c r="Y75" s="471">
        <v>500000</v>
      </c>
      <c r="Z75" s="472"/>
      <c r="AA75" s="474"/>
      <c r="AB75" s="479"/>
      <c r="AC75" s="473"/>
      <c r="AD75" s="474"/>
      <c r="AE75" s="479"/>
      <c r="AF75" s="473"/>
      <c r="AG75" s="474"/>
      <c r="AH75" s="479"/>
      <c r="AI75" s="473"/>
      <c r="AJ75" s="474"/>
      <c r="AK75" s="312" t="s">
        <v>432</v>
      </c>
      <c r="AL75" s="249" t="s">
        <v>153</v>
      </c>
      <c r="AM75" s="312"/>
      <c r="AN75" s="314"/>
      <c r="AO75" s="305">
        <v>0</v>
      </c>
      <c r="AP75" s="233">
        <v>0</v>
      </c>
      <c r="AQ75" s="306">
        <v>0</v>
      </c>
      <c r="AR75" s="339" t="s">
        <v>435</v>
      </c>
    </row>
    <row r="76" spans="1:44" s="19" customFormat="1" ht="105" x14ac:dyDescent="0.25">
      <c r="A76" s="269" t="s">
        <v>109</v>
      </c>
      <c r="B76" s="257"/>
      <c r="C76" s="257" t="s">
        <v>273</v>
      </c>
      <c r="D76" s="258" t="s">
        <v>273</v>
      </c>
      <c r="E76" s="258" t="s">
        <v>100</v>
      </c>
      <c r="F76" s="260" t="s">
        <v>203</v>
      </c>
      <c r="G76" s="260" t="s">
        <v>102</v>
      </c>
      <c r="H76" s="260" t="s">
        <v>274</v>
      </c>
      <c r="I76" s="261" t="s">
        <v>442</v>
      </c>
      <c r="J76" s="261" t="s">
        <v>443</v>
      </c>
      <c r="K76" s="261" t="s">
        <v>444</v>
      </c>
      <c r="L76" s="260"/>
      <c r="M76" s="260"/>
      <c r="N76" s="260"/>
      <c r="O76" s="258" t="s">
        <v>336</v>
      </c>
      <c r="P76" s="401">
        <f t="shared" si="7"/>
        <v>500000</v>
      </c>
      <c r="Q76" s="243">
        <f t="shared" si="2"/>
        <v>0</v>
      </c>
      <c r="R76" s="244">
        <f t="shared" si="8"/>
        <v>500000</v>
      </c>
      <c r="S76" s="244">
        <f t="shared" si="9"/>
        <v>0</v>
      </c>
      <c r="T76" s="244">
        <f t="shared" si="10"/>
        <v>0</v>
      </c>
      <c r="U76" s="245">
        <f t="shared" si="11"/>
        <v>0</v>
      </c>
      <c r="V76" s="471"/>
      <c r="W76" s="472"/>
      <c r="X76" s="473"/>
      <c r="Y76" s="471">
        <v>500000</v>
      </c>
      <c r="Z76" s="472"/>
      <c r="AA76" s="474"/>
      <c r="AB76" s="479"/>
      <c r="AC76" s="473"/>
      <c r="AD76" s="474">
        <v>0</v>
      </c>
      <c r="AE76" s="479"/>
      <c r="AF76" s="473"/>
      <c r="AG76" s="474">
        <v>0</v>
      </c>
      <c r="AH76" s="479"/>
      <c r="AI76" s="473"/>
      <c r="AJ76" s="474">
        <v>0</v>
      </c>
      <c r="AK76" s="312" t="s">
        <v>432</v>
      </c>
      <c r="AL76" s="249" t="s">
        <v>131</v>
      </c>
      <c r="AM76" s="312"/>
      <c r="AN76" s="314"/>
      <c r="AO76" s="305">
        <v>0</v>
      </c>
      <c r="AP76" s="233">
        <v>0</v>
      </c>
      <c r="AQ76" s="306">
        <v>0</v>
      </c>
      <c r="AR76" s="339" t="s">
        <v>435</v>
      </c>
    </row>
    <row r="77" spans="1:44" s="19" customFormat="1" ht="90" x14ac:dyDescent="0.25">
      <c r="A77" s="269" t="s">
        <v>109</v>
      </c>
      <c r="B77" s="257"/>
      <c r="C77" s="257" t="s">
        <v>273</v>
      </c>
      <c r="D77" s="258" t="s">
        <v>273</v>
      </c>
      <c r="E77" s="258" t="s">
        <v>100</v>
      </c>
      <c r="F77" s="260" t="s">
        <v>203</v>
      </c>
      <c r="G77" s="260" t="s">
        <v>143</v>
      </c>
      <c r="H77" s="260" t="s">
        <v>274</v>
      </c>
      <c r="I77" s="261" t="s">
        <v>445</v>
      </c>
      <c r="J77" s="261" t="s">
        <v>446</v>
      </c>
      <c r="K77" s="261" t="s">
        <v>447</v>
      </c>
      <c r="L77" s="260"/>
      <c r="M77" s="260"/>
      <c r="N77" s="260"/>
      <c r="O77" s="258" t="s">
        <v>338</v>
      </c>
      <c r="P77" s="401">
        <f t="shared" si="7"/>
        <v>1492000</v>
      </c>
      <c r="Q77" s="243">
        <f t="shared" si="2"/>
        <v>0</v>
      </c>
      <c r="R77" s="244">
        <f t="shared" si="8"/>
        <v>373000</v>
      </c>
      <c r="S77" s="244">
        <f t="shared" si="9"/>
        <v>373000</v>
      </c>
      <c r="T77" s="244">
        <f t="shared" si="10"/>
        <v>373000</v>
      </c>
      <c r="U77" s="245">
        <f t="shared" si="11"/>
        <v>373000</v>
      </c>
      <c r="V77" s="471"/>
      <c r="W77" s="472"/>
      <c r="X77" s="473"/>
      <c r="Y77" s="471"/>
      <c r="Z77" s="472">
        <v>50000</v>
      </c>
      <c r="AA77" s="474">
        <v>323000</v>
      </c>
      <c r="AB77" s="481"/>
      <c r="AC77" s="482">
        <v>50000</v>
      </c>
      <c r="AD77" s="483">
        <v>323000</v>
      </c>
      <c r="AE77" s="484"/>
      <c r="AF77" s="482">
        <v>50000</v>
      </c>
      <c r="AG77" s="483">
        <v>323000</v>
      </c>
      <c r="AH77" s="484"/>
      <c r="AI77" s="482">
        <v>50000</v>
      </c>
      <c r="AJ77" s="483">
        <v>323000</v>
      </c>
      <c r="AK77" s="312" t="s">
        <v>432</v>
      </c>
      <c r="AL77" s="249" t="s">
        <v>131</v>
      </c>
      <c r="AM77" s="312"/>
      <c r="AN77" s="314"/>
      <c r="AO77" s="305">
        <v>0</v>
      </c>
      <c r="AP77" s="233">
        <v>0</v>
      </c>
      <c r="AQ77" s="306">
        <v>0</v>
      </c>
      <c r="AR77" s="339"/>
    </row>
    <row r="78" spans="1:44" s="19" customFormat="1" ht="90" x14ac:dyDescent="0.25">
      <c r="A78" s="269" t="s">
        <v>109</v>
      </c>
      <c r="B78" s="257"/>
      <c r="C78" s="257" t="s">
        <v>166</v>
      </c>
      <c r="D78" s="258" t="s">
        <v>167</v>
      </c>
      <c r="E78" s="258" t="s">
        <v>100</v>
      </c>
      <c r="F78" s="260" t="s">
        <v>135</v>
      </c>
      <c r="G78" s="260" t="s">
        <v>112</v>
      </c>
      <c r="H78" s="260" t="s">
        <v>168</v>
      </c>
      <c r="I78" s="261" t="s">
        <v>289</v>
      </c>
      <c r="J78" s="261" t="s">
        <v>448</v>
      </c>
      <c r="K78" s="261" t="s">
        <v>291</v>
      </c>
      <c r="L78" s="260"/>
      <c r="M78" s="260"/>
      <c r="N78" s="260"/>
      <c r="O78" s="258" t="s">
        <v>129</v>
      </c>
      <c r="P78" s="401">
        <f t="shared" si="7"/>
        <v>614392</v>
      </c>
      <c r="Q78" s="243">
        <f t="shared" si="2"/>
        <v>0</v>
      </c>
      <c r="R78" s="244">
        <f t="shared" si="8"/>
        <v>614392</v>
      </c>
      <c r="S78" s="244">
        <f t="shared" si="9"/>
        <v>0</v>
      </c>
      <c r="T78" s="244">
        <f t="shared" si="10"/>
        <v>0</v>
      </c>
      <c r="U78" s="245">
        <f t="shared" si="11"/>
        <v>0</v>
      </c>
      <c r="V78" s="471"/>
      <c r="W78" s="472"/>
      <c r="X78" s="473"/>
      <c r="Y78" s="471">
        <v>614392</v>
      </c>
      <c r="Z78" s="472"/>
      <c r="AA78" s="474"/>
      <c r="AB78" s="481"/>
      <c r="AC78" s="482"/>
      <c r="AD78" s="483"/>
      <c r="AE78" s="484"/>
      <c r="AF78" s="482"/>
      <c r="AG78" s="483"/>
      <c r="AH78" s="484"/>
      <c r="AI78" s="482"/>
      <c r="AJ78" s="483"/>
      <c r="AK78" s="312"/>
      <c r="AL78" s="249"/>
      <c r="AM78" s="312"/>
      <c r="AN78" s="314"/>
      <c r="AO78" s="305">
        <v>0</v>
      </c>
      <c r="AP78" s="233">
        <v>0</v>
      </c>
      <c r="AQ78" s="306">
        <v>0</v>
      </c>
      <c r="AR78" s="339" t="s">
        <v>449</v>
      </c>
    </row>
    <row r="79" spans="1:44" s="19" customFormat="1" ht="90" x14ac:dyDescent="0.25">
      <c r="A79" s="269" t="s">
        <v>109</v>
      </c>
      <c r="B79" s="257"/>
      <c r="C79" s="257" t="s">
        <v>166</v>
      </c>
      <c r="D79" s="258" t="s">
        <v>167</v>
      </c>
      <c r="E79" s="258" t="s">
        <v>100</v>
      </c>
      <c r="F79" s="260" t="s">
        <v>135</v>
      </c>
      <c r="G79" s="260" t="s">
        <v>112</v>
      </c>
      <c r="H79" s="260" t="s">
        <v>168</v>
      </c>
      <c r="I79" s="261" t="s">
        <v>289</v>
      </c>
      <c r="J79" s="261" t="s">
        <v>450</v>
      </c>
      <c r="K79" s="261" t="s">
        <v>291</v>
      </c>
      <c r="L79" s="260"/>
      <c r="M79" s="260"/>
      <c r="N79" s="260"/>
      <c r="O79" s="258" t="s">
        <v>129</v>
      </c>
      <c r="P79" s="401">
        <f t="shared" si="7"/>
        <v>618392</v>
      </c>
      <c r="Q79" s="243">
        <f t="shared" si="2"/>
        <v>0</v>
      </c>
      <c r="R79" s="244">
        <f t="shared" si="8"/>
        <v>618392</v>
      </c>
      <c r="S79" s="244">
        <f t="shared" si="9"/>
        <v>0</v>
      </c>
      <c r="T79" s="244">
        <f t="shared" si="10"/>
        <v>0</v>
      </c>
      <c r="U79" s="245">
        <f t="shared" si="11"/>
        <v>0</v>
      </c>
      <c r="V79" s="471"/>
      <c r="W79" s="472"/>
      <c r="X79" s="473"/>
      <c r="Y79" s="471">
        <v>618392</v>
      </c>
      <c r="Z79" s="472"/>
      <c r="AA79" s="474"/>
      <c r="AB79" s="481"/>
      <c r="AC79" s="482"/>
      <c r="AD79" s="483"/>
      <c r="AE79" s="484"/>
      <c r="AF79" s="482"/>
      <c r="AG79" s="483"/>
      <c r="AH79" s="484"/>
      <c r="AI79" s="482"/>
      <c r="AJ79" s="483"/>
      <c r="AK79" s="312"/>
      <c r="AL79" s="249"/>
      <c r="AM79" s="312"/>
      <c r="AN79" s="314"/>
      <c r="AO79" s="305">
        <v>0</v>
      </c>
      <c r="AP79" s="233">
        <v>0</v>
      </c>
      <c r="AQ79" s="306">
        <v>0</v>
      </c>
      <c r="AR79" s="339" t="s">
        <v>451</v>
      </c>
    </row>
    <row r="80" spans="1:44" s="19" customFormat="1" ht="165" x14ac:dyDescent="0.25">
      <c r="A80" s="269" t="s">
        <v>109</v>
      </c>
      <c r="B80" s="257"/>
      <c r="C80" s="257" t="s">
        <v>166</v>
      </c>
      <c r="D80" s="258" t="s">
        <v>167</v>
      </c>
      <c r="E80" s="258" t="s">
        <v>100</v>
      </c>
      <c r="F80" s="260" t="s">
        <v>135</v>
      </c>
      <c r="G80" s="260" t="s">
        <v>112</v>
      </c>
      <c r="H80" s="260" t="s">
        <v>168</v>
      </c>
      <c r="I80" s="261" t="s">
        <v>293</v>
      </c>
      <c r="J80" s="261" t="s">
        <v>294</v>
      </c>
      <c r="K80" s="261" t="s">
        <v>295</v>
      </c>
      <c r="L80" s="260"/>
      <c r="M80" s="260"/>
      <c r="N80" s="260"/>
      <c r="O80" s="258" t="s">
        <v>129</v>
      </c>
      <c r="P80" s="401">
        <f t="shared" si="7"/>
        <v>241029</v>
      </c>
      <c r="Q80" s="243">
        <f t="shared" si="2"/>
        <v>0</v>
      </c>
      <c r="R80" s="244">
        <f t="shared" si="8"/>
        <v>241029</v>
      </c>
      <c r="S80" s="244">
        <f t="shared" si="9"/>
        <v>0</v>
      </c>
      <c r="T80" s="244">
        <f t="shared" si="10"/>
        <v>0</v>
      </c>
      <c r="U80" s="245">
        <f t="shared" si="11"/>
        <v>0</v>
      </c>
      <c r="V80" s="471"/>
      <c r="W80" s="472"/>
      <c r="X80" s="473"/>
      <c r="Y80" s="471">
        <v>241029</v>
      </c>
      <c r="Z80" s="472"/>
      <c r="AA80" s="474"/>
      <c r="AB80" s="481"/>
      <c r="AC80" s="482"/>
      <c r="AD80" s="483"/>
      <c r="AE80" s="484"/>
      <c r="AF80" s="482"/>
      <c r="AG80" s="483"/>
      <c r="AH80" s="484"/>
      <c r="AI80" s="482"/>
      <c r="AJ80" s="483"/>
      <c r="AK80" s="312"/>
      <c r="AL80" s="249"/>
      <c r="AM80" s="312"/>
      <c r="AN80" s="314"/>
      <c r="AO80" s="305">
        <v>0</v>
      </c>
      <c r="AP80" s="233">
        <v>0</v>
      </c>
      <c r="AQ80" s="306">
        <v>0</v>
      </c>
      <c r="AR80" s="339" t="s">
        <v>452</v>
      </c>
    </row>
    <row r="81" spans="1:44" s="19" customFormat="1" ht="105" x14ac:dyDescent="0.25">
      <c r="A81" s="269" t="s">
        <v>109</v>
      </c>
      <c r="B81" s="257"/>
      <c r="C81" s="257" t="s">
        <v>120</v>
      </c>
      <c r="D81" s="258" t="s">
        <v>121</v>
      </c>
      <c r="E81" s="258" t="s">
        <v>100</v>
      </c>
      <c r="F81" s="260" t="s">
        <v>135</v>
      </c>
      <c r="G81" s="260" t="s">
        <v>112</v>
      </c>
      <c r="H81" s="260" t="s">
        <v>168</v>
      </c>
      <c r="I81" s="261" t="s">
        <v>296</v>
      </c>
      <c r="J81" s="261" t="s">
        <v>453</v>
      </c>
      <c r="K81" s="261" t="s">
        <v>298</v>
      </c>
      <c r="L81" s="260"/>
      <c r="M81" s="260"/>
      <c r="N81" s="260"/>
      <c r="O81" s="258" t="s">
        <v>129</v>
      </c>
      <c r="P81" s="401">
        <f t="shared" si="7"/>
        <v>550000</v>
      </c>
      <c r="Q81" s="243">
        <f t="shared" si="2"/>
        <v>0</v>
      </c>
      <c r="R81" s="244">
        <f t="shared" si="8"/>
        <v>550000</v>
      </c>
      <c r="S81" s="244">
        <f t="shared" si="9"/>
        <v>0</v>
      </c>
      <c r="T81" s="244">
        <f t="shared" si="10"/>
        <v>0</v>
      </c>
      <c r="U81" s="245">
        <f t="shared" si="11"/>
        <v>0</v>
      </c>
      <c r="V81" s="471"/>
      <c r="W81" s="472"/>
      <c r="X81" s="473"/>
      <c r="Y81" s="471">
        <v>550000</v>
      </c>
      <c r="Z81" s="472"/>
      <c r="AA81" s="474"/>
      <c r="AB81" s="481"/>
      <c r="AC81" s="482"/>
      <c r="AD81" s="483"/>
      <c r="AE81" s="484"/>
      <c r="AF81" s="482"/>
      <c r="AG81" s="483"/>
      <c r="AH81" s="484"/>
      <c r="AI81" s="482"/>
      <c r="AJ81" s="483"/>
      <c r="AK81" s="312"/>
      <c r="AL81" s="249"/>
      <c r="AM81" s="312"/>
      <c r="AN81" s="314"/>
      <c r="AO81" s="305">
        <v>0</v>
      </c>
      <c r="AP81" s="233">
        <v>0</v>
      </c>
      <c r="AQ81" s="306">
        <v>0</v>
      </c>
      <c r="AR81" s="339" t="s">
        <v>392</v>
      </c>
    </row>
    <row r="82" spans="1:44" s="19" customFormat="1" ht="15.75" x14ac:dyDescent="0.25">
      <c r="A82" s="269"/>
      <c r="B82" s="257"/>
      <c r="C82" s="257"/>
      <c r="D82" s="258"/>
      <c r="E82" s="258"/>
      <c r="F82" s="260"/>
      <c r="G82" s="260"/>
      <c r="H82" s="260"/>
      <c r="I82" s="261"/>
      <c r="J82" s="261"/>
      <c r="K82" s="261"/>
      <c r="L82" s="260"/>
      <c r="M82" s="260"/>
      <c r="N82" s="260"/>
      <c r="O82" s="258"/>
      <c r="P82" s="401">
        <f t="shared" si="7"/>
        <v>0</v>
      </c>
      <c r="Q82" s="243">
        <f t="shared" si="2"/>
        <v>0</v>
      </c>
      <c r="R82" s="244">
        <f t="shared" si="8"/>
        <v>0</v>
      </c>
      <c r="S82" s="244">
        <f t="shared" si="9"/>
        <v>0</v>
      </c>
      <c r="T82" s="244">
        <f t="shared" si="10"/>
        <v>0</v>
      </c>
      <c r="U82" s="245">
        <f t="shared" si="11"/>
        <v>0</v>
      </c>
      <c r="V82" s="471"/>
      <c r="W82" s="472"/>
      <c r="X82" s="473"/>
      <c r="Y82" s="471"/>
      <c r="Z82" s="472"/>
      <c r="AA82" s="474"/>
      <c r="AB82" s="481"/>
      <c r="AC82" s="482"/>
      <c r="AD82" s="483"/>
      <c r="AE82" s="484"/>
      <c r="AF82" s="482"/>
      <c r="AG82" s="483"/>
      <c r="AH82" s="484"/>
      <c r="AI82" s="482"/>
      <c r="AJ82" s="483"/>
      <c r="AK82" s="312"/>
      <c r="AL82" s="249"/>
      <c r="AM82" s="312"/>
      <c r="AN82" s="314"/>
      <c r="AO82" s="305"/>
      <c r="AP82" s="233"/>
      <c r="AQ82" s="306"/>
      <c r="AR82" s="339"/>
    </row>
    <row r="83" spans="1:44" s="19" customFormat="1" ht="15.75" x14ac:dyDescent="0.25">
      <c r="A83" s="269"/>
      <c r="B83" s="257"/>
      <c r="C83" s="257"/>
      <c r="D83" s="258"/>
      <c r="E83" s="258"/>
      <c r="F83" s="260"/>
      <c r="G83" s="260"/>
      <c r="H83" s="260"/>
      <c r="I83" s="261"/>
      <c r="J83" s="261"/>
      <c r="K83" s="261"/>
      <c r="L83" s="260"/>
      <c r="M83" s="260"/>
      <c r="N83" s="260"/>
      <c r="O83" s="258"/>
      <c r="P83" s="401">
        <f t="shared" si="7"/>
        <v>0</v>
      </c>
      <c r="Q83" s="243">
        <f t="shared" si="2"/>
        <v>0</v>
      </c>
      <c r="R83" s="244">
        <f t="shared" si="8"/>
        <v>0</v>
      </c>
      <c r="S83" s="244">
        <f t="shared" si="9"/>
        <v>0</v>
      </c>
      <c r="T83" s="244">
        <f t="shared" si="10"/>
        <v>0</v>
      </c>
      <c r="U83" s="245">
        <f t="shared" si="11"/>
        <v>0</v>
      </c>
      <c r="V83" s="471"/>
      <c r="W83" s="472"/>
      <c r="X83" s="473"/>
      <c r="Y83" s="471"/>
      <c r="Z83" s="472"/>
      <c r="AA83" s="474"/>
      <c r="AB83" s="481"/>
      <c r="AC83" s="482"/>
      <c r="AD83" s="483"/>
      <c r="AE83" s="484"/>
      <c r="AF83" s="482"/>
      <c r="AG83" s="483"/>
      <c r="AH83" s="484"/>
      <c r="AI83" s="482"/>
      <c r="AJ83" s="483"/>
      <c r="AK83" s="312"/>
      <c r="AL83" s="249"/>
      <c r="AM83" s="312"/>
      <c r="AN83" s="314"/>
      <c r="AO83" s="305"/>
      <c r="AP83" s="233"/>
      <c r="AQ83" s="306"/>
      <c r="AR83" s="339"/>
    </row>
    <row r="84" spans="1:44" s="19" customFormat="1" ht="15.75" x14ac:dyDescent="0.25">
      <c r="A84" s="269"/>
      <c r="B84" s="257"/>
      <c r="C84" s="257"/>
      <c r="D84" s="258"/>
      <c r="E84" s="258"/>
      <c r="F84" s="260"/>
      <c r="G84" s="260"/>
      <c r="H84" s="260"/>
      <c r="I84" s="261"/>
      <c r="J84" s="261"/>
      <c r="K84" s="261"/>
      <c r="L84" s="260"/>
      <c r="M84" s="260"/>
      <c r="N84" s="260"/>
      <c r="O84" s="258"/>
      <c r="P84" s="401">
        <f t="shared" si="7"/>
        <v>0</v>
      </c>
      <c r="Q84" s="243">
        <f t="shared" si="2"/>
        <v>0</v>
      </c>
      <c r="R84" s="244">
        <f t="shared" si="8"/>
        <v>0</v>
      </c>
      <c r="S84" s="244">
        <f t="shared" si="9"/>
        <v>0</v>
      </c>
      <c r="T84" s="244">
        <f t="shared" si="10"/>
        <v>0</v>
      </c>
      <c r="U84" s="245">
        <f t="shared" si="11"/>
        <v>0</v>
      </c>
      <c r="V84" s="471"/>
      <c r="W84" s="472"/>
      <c r="X84" s="473"/>
      <c r="Y84" s="471"/>
      <c r="Z84" s="472"/>
      <c r="AA84" s="474"/>
      <c r="AB84" s="481"/>
      <c r="AC84" s="482"/>
      <c r="AD84" s="483"/>
      <c r="AE84" s="484"/>
      <c r="AF84" s="482"/>
      <c r="AG84" s="483"/>
      <c r="AH84" s="484"/>
      <c r="AI84" s="482"/>
      <c r="AJ84" s="483"/>
      <c r="AK84" s="312"/>
      <c r="AL84" s="249"/>
      <c r="AM84" s="312"/>
      <c r="AN84" s="314"/>
      <c r="AO84" s="305"/>
      <c r="AP84" s="233"/>
      <c r="AQ84" s="306"/>
      <c r="AR84" s="339"/>
    </row>
    <row r="85" spans="1:44" s="19" customFormat="1" ht="15.75" x14ac:dyDescent="0.25">
      <c r="A85" s="269"/>
      <c r="B85" s="257"/>
      <c r="C85" s="257"/>
      <c r="D85" s="258"/>
      <c r="E85" s="258"/>
      <c r="F85" s="260"/>
      <c r="G85" s="260"/>
      <c r="H85" s="260"/>
      <c r="I85" s="261"/>
      <c r="J85" s="261"/>
      <c r="K85" s="261"/>
      <c r="L85" s="260"/>
      <c r="M85" s="260"/>
      <c r="N85" s="260"/>
      <c r="O85" s="258"/>
      <c r="P85" s="401">
        <f t="shared" si="7"/>
        <v>0</v>
      </c>
      <c r="Q85" s="243">
        <f t="shared" si="2"/>
        <v>0</v>
      </c>
      <c r="R85" s="244">
        <f t="shared" si="8"/>
        <v>0</v>
      </c>
      <c r="S85" s="244">
        <f t="shared" si="9"/>
        <v>0</v>
      </c>
      <c r="T85" s="244">
        <f t="shared" si="10"/>
        <v>0</v>
      </c>
      <c r="U85" s="245">
        <f t="shared" si="11"/>
        <v>0</v>
      </c>
      <c r="V85" s="471"/>
      <c r="W85" s="472"/>
      <c r="X85" s="473"/>
      <c r="Y85" s="471"/>
      <c r="Z85" s="472"/>
      <c r="AA85" s="474"/>
      <c r="AB85" s="481"/>
      <c r="AC85" s="482"/>
      <c r="AD85" s="483"/>
      <c r="AE85" s="484"/>
      <c r="AF85" s="482"/>
      <c r="AG85" s="483"/>
      <c r="AH85" s="484"/>
      <c r="AI85" s="482"/>
      <c r="AJ85" s="483"/>
      <c r="AK85" s="312"/>
      <c r="AL85" s="249"/>
      <c r="AM85" s="312"/>
      <c r="AN85" s="314"/>
      <c r="AO85" s="305"/>
      <c r="AP85" s="233"/>
      <c r="AQ85" s="306"/>
      <c r="AR85" s="339"/>
    </row>
    <row r="86" spans="1:44" s="19" customFormat="1" ht="15.75" x14ac:dyDescent="0.25">
      <c r="A86" s="269"/>
      <c r="B86" s="257"/>
      <c r="C86" s="257"/>
      <c r="D86" s="258"/>
      <c r="E86" s="258"/>
      <c r="F86" s="260"/>
      <c r="G86" s="260"/>
      <c r="H86" s="260"/>
      <c r="I86" s="261"/>
      <c r="J86" s="261"/>
      <c r="K86" s="261"/>
      <c r="L86" s="260"/>
      <c r="M86" s="260"/>
      <c r="N86" s="260"/>
      <c r="O86" s="258"/>
      <c r="P86" s="401">
        <f t="shared" si="7"/>
        <v>0</v>
      </c>
      <c r="Q86" s="243">
        <f t="shared" si="2"/>
        <v>0</v>
      </c>
      <c r="R86" s="244">
        <f t="shared" si="8"/>
        <v>0</v>
      </c>
      <c r="S86" s="244">
        <f t="shared" si="9"/>
        <v>0</v>
      </c>
      <c r="T86" s="244">
        <f t="shared" si="10"/>
        <v>0</v>
      </c>
      <c r="U86" s="245">
        <f t="shared" si="11"/>
        <v>0</v>
      </c>
      <c r="V86" s="471"/>
      <c r="W86" s="472"/>
      <c r="X86" s="473"/>
      <c r="Y86" s="471"/>
      <c r="Z86" s="472"/>
      <c r="AA86" s="474"/>
      <c r="AB86" s="481"/>
      <c r="AC86" s="482"/>
      <c r="AD86" s="483"/>
      <c r="AE86" s="484"/>
      <c r="AF86" s="482"/>
      <c r="AG86" s="483"/>
      <c r="AH86" s="484"/>
      <c r="AI86" s="482"/>
      <c r="AJ86" s="483"/>
      <c r="AK86" s="312"/>
      <c r="AL86" s="249"/>
      <c r="AM86" s="312"/>
      <c r="AN86" s="314"/>
      <c r="AO86" s="305"/>
      <c r="AP86" s="233"/>
      <c r="AQ86" s="306"/>
      <c r="AR86" s="339"/>
    </row>
    <row r="87" spans="1:44" s="19" customFormat="1" ht="15.75" x14ac:dyDescent="0.25">
      <c r="A87" s="269"/>
      <c r="B87" s="257"/>
      <c r="C87" s="257"/>
      <c r="D87" s="258"/>
      <c r="E87" s="258"/>
      <c r="F87" s="260"/>
      <c r="G87" s="260"/>
      <c r="H87" s="260"/>
      <c r="I87" s="261"/>
      <c r="J87" s="261"/>
      <c r="K87" s="261"/>
      <c r="L87" s="260"/>
      <c r="M87" s="260"/>
      <c r="N87" s="260"/>
      <c r="O87" s="258"/>
      <c r="P87" s="401">
        <f t="shared" si="7"/>
        <v>0</v>
      </c>
      <c r="Q87" s="243">
        <f t="shared" si="2"/>
        <v>0</v>
      </c>
      <c r="R87" s="244">
        <f t="shared" si="8"/>
        <v>0</v>
      </c>
      <c r="S87" s="244">
        <f t="shared" si="9"/>
        <v>0</v>
      </c>
      <c r="T87" s="244">
        <f t="shared" si="10"/>
        <v>0</v>
      </c>
      <c r="U87" s="245">
        <f t="shared" si="11"/>
        <v>0</v>
      </c>
      <c r="V87" s="471"/>
      <c r="W87" s="472"/>
      <c r="X87" s="473"/>
      <c r="Y87" s="471"/>
      <c r="Z87" s="472"/>
      <c r="AA87" s="474"/>
      <c r="AB87" s="481"/>
      <c r="AC87" s="482"/>
      <c r="AD87" s="483"/>
      <c r="AE87" s="484"/>
      <c r="AF87" s="482"/>
      <c r="AG87" s="483"/>
      <c r="AH87" s="484"/>
      <c r="AI87" s="482"/>
      <c r="AJ87" s="483"/>
      <c r="AK87" s="312"/>
      <c r="AL87" s="249"/>
      <c r="AM87" s="312"/>
      <c r="AN87" s="314"/>
      <c r="AO87" s="305"/>
      <c r="AP87" s="233"/>
      <c r="AQ87" s="306"/>
      <c r="AR87" s="339"/>
    </row>
    <row r="88" spans="1:44" s="19" customFormat="1" ht="15.75" x14ac:dyDescent="0.25">
      <c r="A88" s="269"/>
      <c r="B88" s="257"/>
      <c r="C88" s="257"/>
      <c r="D88" s="258"/>
      <c r="E88" s="258"/>
      <c r="F88" s="260"/>
      <c r="G88" s="260"/>
      <c r="H88" s="260"/>
      <c r="I88" s="261"/>
      <c r="J88" s="261"/>
      <c r="K88" s="261"/>
      <c r="L88" s="260"/>
      <c r="M88" s="260"/>
      <c r="N88" s="260"/>
      <c r="O88" s="258"/>
      <c r="P88" s="401">
        <f t="shared" si="7"/>
        <v>0</v>
      </c>
      <c r="Q88" s="243">
        <f t="shared" si="2"/>
        <v>0</v>
      </c>
      <c r="R88" s="244">
        <f t="shared" si="8"/>
        <v>0</v>
      </c>
      <c r="S88" s="244">
        <f t="shared" si="9"/>
        <v>0</v>
      </c>
      <c r="T88" s="244">
        <f t="shared" si="10"/>
        <v>0</v>
      </c>
      <c r="U88" s="245">
        <f t="shared" si="11"/>
        <v>0</v>
      </c>
      <c r="V88" s="471"/>
      <c r="W88" s="472"/>
      <c r="X88" s="473"/>
      <c r="Y88" s="471"/>
      <c r="Z88" s="472"/>
      <c r="AA88" s="474"/>
      <c r="AB88" s="481"/>
      <c r="AC88" s="482"/>
      <c r="AD88" s="483"/>
      <c r="AE88" s="484"/>
      <c r="AF88" s="482"/>
      <c r="AG88" s="483"/>
      <c r="AH88" s="484"/>
      <c r="AI88" s="482"/>
      <c r="AJ88" s="483"/>
      <c r="AK88" s="312"/>
      <c r="AL88" s="249"/>
      <c r="AM88" s="312"/>
      <c r="AN88" s="314"/>
      <c r="AO88" s="305"/>
      <c r="AP88" s="233"/>
      <c r="AQ88" s="306"/>
      <c r="AR88" s="339"/>
    </row>
    <row r="89" spans="1:44" s="19" customFormat="1" ht="15.75" x14ac:dyDescent="0.25">
      <c r="A89" s="269"/>
      <c r="B89" s="257"/>
      <c r="C89" s="257"/>
      <c r="D89" s="258"/>
      <c r="E89" s="258"/>
      <c r="F89" s="260"/>
      <c r="G89" s="260"/>
      <c r="H89" s="260"/>
      <c r="I89" s="261"/>
      <c r="J89" s="261"/>
      <c r="K89" s="261"/>
      <c r="L89" s="260"/>
      <c r="M89" s="260"/>
      <c r="N89" s="260"/>
      <c r="O89" s="258"/>
      <c r="P89" s="401">
        <f t="shared" si="7"/>
        <v>0</v>
      </c>
      <c r="Q89" s="243">
        <f t="shared" si="2"/>
        <v>0</v>
      </c>
      <c r="R89" s="244">
        <f t="shared" si="8"/>
        <v>0</v>
      </c>
      <c r="S89" s="244">
        <f t="shared" si="9"/>
        <v>0</v>
      </c>
      <c r="T89" s="244">
        <f t="shared" si="10"/>
        <v>0</v>
      </c>
      <c r="U89" s="245">
        <f t="shared" si="11"/>
        <v>0</v>
      </c>
      <c r="V89" s="471"/>
      <c r="W89" s="472"/>
      <c r="X89" s="473"/>
      <c r="Y89" s="471"/>
      <c r="Z89" s="472"/>
      <c r="AA89" s="474"/>
      <c r="AB89" s="481"/>
      <c r="AC89" s="482"/>
      <c r="AD89" s="483"/>
      <c r="AE89" s="484"/>
      <c r="AF89" s="482"/>
      <c r="AG89" s="483"/>
      <c r="AH89" s="484"/>
      <c r="AI89" s="482"/>
      <c r="AJ89" s="483"/>
      <c r="AK89" s="312"/>
      <c r="AL89" s="249"/>
      <c r="AM89" s="312"/>
      <c r="AN89" s="314"/>
      <c r="AO89" s="305"/>
      <c r="AP89" s="233"/>
      <c r="AQ89" s="306"/>
      <c r="AR89" s="339"/>
    </row>
    <row r="90" spans="1:44" s="36" customFormat="1" ht="15.75" x14ac:dyDescent="0.25">
      <c r="A90" s="269"/>
      <c r="B90" s="257"/>
      <c r="C90" s="257"/>
      <c r="D90" s="258"/>
      <c r="E90" s="258"/>
      <c r="F90" s="258"/>
      <c r="G90" s="258"/>
      <c r="H90" s="258"/>
      <c r="I90" s="258"/>
      <c r="J90" s="268"/>
      <c r="K90" s="258"/>
      <c r="L90" s="258"/>
      <c r="M90" s="258"/>
      <c r="N90" s="258"/>
      <c r="O90" s="258"/>
      <c r="P90" s="401">
        <f t="shared" si="7"/>
        <v>0</v>
      </c>
      <c r="Q90" s="243">
        <f t="shared" si="2"/>
        <v>0</v>
      </c>
      <c r="R90" s="244">
        <f t="shared" si="8"/>
        <v>0</v>
      </c>
      <c r="S90" s="244">
        <f t="shared" si="9"/>
        <v>0</v>
      </c>
      <c r="T90" s="244">
        <f t="shared" si="10"/>
        <v>0</v>
      </c>
      <c r="U90" s="245">
        <f t="shared" si="11"/>
        <v>0</v>
      </c>
      <c r="V90" s="471"/>
      <c r="W90" s="472"/>
      <c r="X90" s="473"/>
      <c r="Y90" s="471"/>
      <c r="Z90" s="472"/>
      <c r="AA90" s="474"/>
      <c r="AB90" s="481"/>
      <c r="AC90" s="482"/>
      <c r="AD90" s="483"/>
      <c r="AE90" s="484"/>
      <c r="AF90" s="482"/>
      <c r="AG90" s="483"/>
      <c r="AH90" s="484"/>
      <c r="AI90" s="482"/>
      <c r="AJ90" s="483"/>
      <c r="AK90" s="259"/>
      <c r="AL90" s="249"/>
      <c r="AM90" s="259"/>
      <c r="AN90" s="315"/>
      <c r="AO90" s="305"/>
      <c r="AP90" s="233"/>
      <c r="AQ90" s="306"/>
      <c r="AR90" s="339"/>
    </row>
    <row r="91" spans="1:44" s="19" customFormat="1" ht="15.75" x14ac:dyDescent="0.25">
      <c r="A91" s="269"/>
      <c r="B91" s="257"/>
      <c r="C91" s="257"/>
      <c r="D91" s="258"/>
      <c r="E91" s="258"/>
      <c r="F91" s="260"/>
      <c r="G91" s="260"/>
      <c r="H91" s="260"/>
      <c r="I91" s="261"/>
      <c r="J91" s="270"/>
      <c r="K91" s="261"/>
      <c r="L91" s="260"/>
      <c r="M91" s="260"/>
      <c r="N91" s="260"/>
      <c r="O91" s="258"/>
      <c r="P91" s="401">
        <f t="shared" si="7"/>
        <v>0</v>
      </c>
      <c r="Q91" s="243">
        <f t="shared" si="2"/>
        <v>0</v>
      </c>
      <c r="R91" s="244">
        <f t="shared" si="8"/>
        <v>0</v>
      </c>
      <c r="S91" s="244">
        <f t="shared" si="9"/>
        <v>0</v>
      </c>
      <c r="T91" s="244">
        <f t="shared" si="10"/>
        <v>0</v>
      </c>
      <c r="U91" s="245">
        <f t="shared" si="11"/>
        <v>0</v>
      </c>
      <c r="V91" s="471"/>
      <c r="W91" s="472"/>
      <c r="X91" s="473"/>
      <c r="Y91" s="471"/>
      <c r="Z91" s="472"/>
      <c r="AA91" s="474"/>
      <c r="AB91" s="481"/>
      <c r="AC91" s="482"/>
      <c r="AD91" s="483"/>
      <c r="AE91" s="484"/>
      <c r="AF91" s="482"/>
      <c r="AG91" s="483"/>
      <c r="AH91" s="484"/>
      <c r="AI91" s="482"/>
      <c r="AJ91" s="483"/>
      <c r="AK91" s="312"/>
      <c r="AL91" s="249"/>
      <c r="AM91" s="312"/>
      <c r="AN91" s="314"/>
      <c r="AO91" s="305"/>
      <c r="AP91" s="233"/>
      <c r="AQ91" s="306"/>
      <c r="AR91" s="339"/>
    </row>
    <row r="92" spans="1:44" s="19" customFormat="1" ht="15.75" x14ac:dyDescent="0.25">
      <c r="A92" s="269"/>
      <c r="B92" s="257"/>
      <c r="C92" s="257"/>
      <c r="D92" s="258"/>
      <c r="E92" s="258"/>
      <c r="F92" s="260"/>
      <c r="G92" s="260"/>
      <c r="H92" s="260"/>
      <c r="I92" s="261"/>
      <c r="J92" s="270"/>
      <c r="K92" s="261"/>
      <c r="L92" s="260"/>
      <c r="M92" s="260"/>
      <c r="N92" s="260"/>
      <c r="O92" s="258"/>
      <c r="P92" s="401">
        <f t="shared" si="7"/>
        <v>0</v>
      </c>
      <c r="Q92" s="243">
        <f t="shared" si="2"/>
        <v>0</v>
      </c>
      <c r="R92" s="244">
        <f t="shared" si="8"/>
        <v>0</v>
      </c>
      <c r="S92" s="244">
        <f t="shared" si="9"/>
        <v>0</v>
      </c>
      <c r="T92" s="244">
        <f t="shared" si="10"/>
        <v>0</v>
      </c>
      <c r="U92" s="245">
        <f t="shared" si="11"/>
        <v>0</v>
      </c>
      <c r="V92" s="471"/>
      <c r="W92" s="472"/>
      <c r="X92" s="473"/>
      <c r="Y92" s="471"/>
      <c r="Z92" s="472"/>
      <c r="AA92" s="474"/>
      <c r="AB92" s="481"/>
      <c r="AC92" s="482"/>
      <c r="AD92" s="483"/>
      <c r="AE92" s="484"/>
      <c r="AF92" s="482"/>
      <c r="AG92" s="483"/>
      <c r="AH92" s="484"/>
      <c r="AI92" s="482"/>
      <c r="AJ92" s="483"/>
      <c r="AK92" s="312"/>
      <c r="AL92" s="249"/>
      <c r="AM92" s="312"/>
      <c r="AN92" s="314"/>
      <c r="AO92" s="305"/>
      <c r="AP92" s="233"/>
      <c r="AQ92" s="306"/>
      <c r="AR92" s="339"/>
    </row>
    <row r="93" spans="1:44" s="19" customFormat="1" ht="15.75" x14ac:dyDescent="0.25">
      <c r="A93" s="337"/>
      <c r="B93" s="264"/>
      <c r="C93" s="264"/>
      <c r="D93" s="265"/>
      <c r="E93" s="265"/>
      <c r="F93" s="260"/>
      <c r="G93" s="271"/>
      <c r="H93" s="338"/>
      <c r="I93" s="266"/>
      <c r="J93" s="272"/>
      <c r="K93" s="266"/>
      <c r="L93" s="338"/>
      <c r="M93" s="338"/>
      <c r="N93" s="338"/>
      <c r="O93" s="265"/>
      <c r="P93" s="401">
        <f t="shared" si="7"/>
        <v>0</v>
      </c>
      <c r="Q93" s="243">
        <f t="shared" si="2"/>
        <v>0</v>
      </c>
      <c r="R93" s="244">
        <f t="shared" si="8"/>
        <v>0</v>
      </c>
      <c r="S93" s="244">
        <f t="shared" si="9"/>
        <v>0</v>
      </c>
      <c r="T93" s="244">
        <f t="shared" si="10"/>
        <v>0</v>
      </c>
      <c r="U93" s="245">
        <f t="shared" si="11"/>
        <v>0</v>
      </c>
      <c r="V93" s="471"/>
      <c r="W93" s="472"/>
      <c r="X93" s="473"/>
      <c r="Y93" s="471"/>
      <c r="Z93" s="472"/>
      <c r="AA93" s="474"/>
      <c r="AB93" s="485"/>
      <c r="AC93" s="486"/>
      <c r="AD93" s="487"/>
      <c r="AE93" s="488"/>
      <c r="AF93" s="486"/>
      <c r="AG93" s="487"/>
      <c r="AH93" s="488"/>
      <c r="AI93" s="486"/>
      <c r="AJ93" s="486"/>
      <c r="AK93" s="313"/>
      <c r="AL93" s="267"/>
      <c r="AM93" s="313"/>
      <c r="AN93" s="314"/>
      <c r="AO93" s="307"/>
      <c r="AP93" s="304"/>
      <c r="AQ93" s="308"/>
      <c r="AR93" s="340"/>
    </row>
    <row r="94" spans="1:44" s="19" customFormat="1" ht="15.6" customHeight="1" thickBot="1" x14ac:dyDescent="0.3">
      <c r="A94" s="37"/>
      <c r="B94" s="29"/>
      <c r="C94" s="38"/>
      <c r="D94" s="38"/>
      <c r="E94" s="38"/>
      <c r="F94" s="38"/>
      <c r="G94" s="38"/>
      <c r="H94" s="38"/>
      <c r="I94" s="38"/>
      <c r="J94" s="29"/>
      <c r="K94" s="38"/>
      <c r="L94" s="38"/>
      <c r="M94" s="38"/>
      <c r="N94" s="38"/>
      <c r="O94" s="38"/>
      <c r="P94" s="20">
        <f t="shared" si="7"/>
        <v>0</v>
      </c>
      <c r="Q94" s="209">
        <f t="shared" si="2"/>
        <v>0</v>
      </c>
      <c r="R94" s="303">
        <f t="shared" si="8"/>
        <v>0</v>
      </c>
      <c r="S94" s="303">
        <f t="shared" si="9"/>
        <v>0</v>
      </c>
      <c r="T94" s="303">
        <f t="shared" si="10"/>
        <v>0</v>
      </c>
      <c r="U94" s="327">
        <f t="shared" si="11"/>
        <v>0</v>
      </c>
      <c r="V94" s="294"/>
      <c r="W94" s="295"/>
      <c r="X94" s="31"/>
      <c r="Y94" s="309"/>
      <c r="Z94" s="310"/>
      <c r="AA94" s="173"/>
      <c r="AB94" s="171"/>
      <c r="AC94" s="172"/>
      <c r="AD94" s="173"/>
      <c r="AE94" s="174"/>
      <c r="AF94" s="172"/>
      <c r="AG94" s="173"/>
      <c r="AH94" s="174"/>
      <c r="AI94" s="172"/>
      <c r="AJ94" s="172"/>
      <c r="AK94" s="215"/>
      <c r="AL94" s="214"/>
      <c r="AM94" s="215"/>
      <c r="AN94" s="214"/>
      <c r="AO94" s="309"/>
      <c r="AP94" s="310"/>
      <c r="AQ94" s="173"/>
      <c r="AR94" s="214"/>
    </row>
    <row r="95" spans="1:44" x14ac:dyDescent="0.25">
      <c r="J95"/>
    </row>
    <row r="96" spans="1:44" x14ac:dyDescent="0.25">
      <c r="F96" s="15"/>
      <c r="J96"/>
    </row>
    <row r="97" spans="5:38" x14ac:dyDescent="0.25">
      <c r="E97" t="s">
        <v>100</v>
      </c>
      <c r="F97" s="14" t="s">
        <v>101</v>
      </c>
      <c r="G97" t="s">
        <v>7</v>
      </c>
      <c r="J97"/>
      <c r="O97" s="14" t="s">
        <v>118</v>
      </c>
      <c r="P97" s="14"/>
      <c r="AL97" t="s">
        <v>108</v>
      </c>
    </row>
    <row r="98" spans="5:38" x14ac:dyDescent="0.25">
      <c r="E98" t="s">
        <v>335</v>
      </c>
      <c r="F98" s="14" t="s">
        <v>122</v>
      </c>
      <c r="G98" t="s">
        <v>8</v>
      </c>
      <c r="J98"/>
      <c r="O98" s="14" t="s">
        <v>336</v>
      </c>
      <c r="P98" s="14"/>
      <c r="AL98" t="s">
        <v>133</v>
      </c>
    </row>
    <row r="99" spans="5:38" x14ac:dyDescent="0.25">
      <c r="E99" t="s">
        <v>244</v>
      </c>
      <c r="F99" s="14" t="s">
        <v>245</v>
      </c>
      <c r="G99" t="s">
        <v>343</v>
      </c>
      <c r="J99"/>
      <c r="O99" s="14" t="s">
        <v>338</v>
      </c>
      <c r="P99" s="14"/>
      <c r="AL99" t="s">
        <v>131</v>
      </c>
    </row>
    <row r="100" spans="5:38" x14ac:dyDescent="0.25">
      <c r="F100" s="14" t="s">
        <v>340</v>
      </c>
      <c r="G100" t="s">
        <v>10</v>
      </c>
      <c r="J100"/>
      <c r="O100" s="14" t="s">
        <v>341</v>
      </c>
      <c r="P100" s="14"/>
      <c r="AL100" t="s">
        <v>153</v>
      </c>
    </row>
    <row r="101" spans="5:38" x14ac:dyDescent="0.25">
      <c r="F101" s="14" t="s">
        <v>135</v>
      </c>
      <c r="J101"/>
      <c r="O101" s="14" t="s">
        <v>18</v>
      </c>
      <c r="P101" s="14"/>
      <c r="AL101" t="s">
        <v>174</v>
      </c>
    </row>
    <row r="102" spans="5:38" x14ac:dyDescent="0.25">
      <c r="F102" s="14" t="s">
        <v>231</v>
      </c>
      <c r="J102"/>
      <c r="O102" s="14" t="s">
        <v>342</v>
      </c>
      <c r="P102" s="14"/>
    </row>
    <row r="103" spans="5:38" x14ac:dyDescent="0.25">
      <c r="F103" s="14" t="s">
        <v>203</v>
      </c>
      <c r="J103"/>
      <c r="O103" s="14" t="s">
        <v>129</v>
      </c>
    </row>
    <row r="104" spans="5:38" x14ac:dyDescent="0.25">
      <c r="F104" s="14" t="s">
        <v>111</v>
      </c>
      <c r="J104"/>
    </row>
    <row r="105" spans="5:38" x14ac:dyDescent="0.25">
      <c r="F105" s="14" t="s">
        <v>186</v>
      </c>
      <c r="J105"/>
    </row>
    <row r="106" spans="5:38" x14ac:dyDescent="0.25">
      <c r="F106" s="14" t="s">
        <v>344</v>
      </c>
      <c r="J106"/>
    </row>
    <row r="107" spans="5:38" x14ac:dyDescent="0.25">
      <c r="F107" s="14" t="s">
        <v>345</v>
      </c>
      <c r="J107"/>
    </row>
    <row r="108" spans="5:38" x14ac:dyDescent="0.25">
      <c r="F108" s="14" t="s">
        <v>346</v>
      </c>
      <c r="J108"/>
    </row>
    <row r="109" spans="5:38" x14ac:dyDescent="0.25">
      <c r="F109" s="14" t="s">
        <v>347</v>
      </c>
      <c r="J109"/>
    </row>
    <row r="110" spans="5:38" x14ac:dyDescent="0.25">
      <c r="F110" s="14" t="s">
        <v>348</v>
      </c>
      <c r="J110"/>
    </row>
    <row r="111" spans="5:38" x14ac:dyDescent="0.25">
      <c r="F111" s="14" t="s">
        <v>349</v>
      </c>
      <c r="J111"/>
    </row>
    <row r="112" spans="5:38" x14ac:dyDescent="0.25">
      <c r="F112" s="14" t="s">
        <v>196</v>
      </c>
      <c r="J112"/>
    </row>
    <row r="113" spans="6:10" x14ac:dyDescent="0.25">
      <c r="F113" s="14" t="s">
        <v>180</v>
      </c>
      <c r="J113"/>
    </row>
    <row r="114" spans="6:10" x14ac:dyDescent="0.25">
      <c r="F114" s="14" t="s">
        <v>351</v>
      </c>
      <c r="J114"/>
    </row>
    <row r="115" spans="6:10" x14ac:dyDescent="0.25">
      <c r="F115" s="14" t="s">
        <v>352</v>
      </c>
      <c r="J115"/>
    </row>
    <row r="116" spans="6:10" x14ac:dyDescent="0.25">
      <c r="I116" s="3"/>
      <c r="J116"/>
    </row>
    <row r="117" spans="6:10" x14ac:dyDescent="0.25">
      <c r="H117" s="3"/>
      <c r="J117"/>
    </row>
  </sheetData>
  <sheetProtection algorithmName="SHA-512" hashValue="CutQJUHH172MLHrcUrdsIf/gbYV7f9LgzvY080rmZMkz2eKDcJ3u1Ny+1S1yY5PANSkRKXH3+l7536HKz1VGow==" saltValue="kE733/SneNKbQe0OB74t/A==" spinCount="100000" sheet="1" objects="1" scenarios="1"/>
  <mergeCells count="22">
    <mergeCell ref="AO32:AQ32"/>
    <mergeCell ref="AO33:AQ33"/>
    <mergeCell ref="K22:Q22"/>
    <mergeCell ref="B23:I23"/>
    <mergeCell ref="K23:Q23"/>
    <mergeCell ref="K25:Q25"/>
    <mergeCell ref="B26:I26"/>
    <mergeCell ref="K26:Q26"/>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dimension ref="A2:P123"/>
  <sheetViews>
    <sheetView topLeftCell="A59" zoomScaleNormal="100" workbookViewId="0">
      <selection activeCell="F60" sqref="F59:F60"/>
    </sheetView>
  </sheetViews>
  <sheetFormatPr defaultColWidth="9.140625" defaultRowHeight="15" x14ac:dyDescent="0.25"/>
  <cols>
    <col min="1" max="1" width="9.140625" style="1"/>
    <col min="2" max="2" width="22.28515625" style="1" customWidth="1"/>
    <col min="3" max="3" width="20.85546875" style="1" customWidth="1"/>
    <col min="4" max="5" width="18" style="1" customWidth="1"/>
    <col min="6" max="6" width="17.140625" style="1" customWidth="1"/>
    <col min="7" max="7" width="12.140625" style="1" customWidth="1"/>
    <col min="8" max="8" width="12.85546875" style="1" customWidth="1"/>
    <col min="9" max="9" width="11.85546875" style="1" customWidth="1"/>
    <col min="10" max="10" width="11.5703125" style="1" customWidth="1"/>
    <col min="11" max="11" width="13.140625" style="1" customWidth="1"/>
    <col min="12" max="12" width="11.85546875" style="1" customWidth="1"/>
    <col min="13" max="15" width="9.140625" style="1"/>
    <col min="16" max="16" width="9.85546875" style="1" bestFit="1" customWidth="1"/>
    <col min="17" max="22" width="9.140625" style="1"/>
    <col min="23" max="23" width="12.28515625" style="1" bestFit="1" customWidth="1"/>
    <col min="24" max="16384" width="9.140625" style="1"/>
  </cols>
  <sheetData>
    <row r="2" spans="1:8" ht="18.75" x14ac:dyDescent="0.25">
      <c r="A2" s="112" t="s">
        <v>454</v>
      </c>
      <c r="B2" s="112"/>
    </row>
    <row r="4" spans="1:8" x14ac:dyDescent="0.25">
      <c r="B4" s="176" t="s">
        <v>455</v>
      </c>
      <c r="C4" s="645" t="s">
        <v>456</v>
      </c>
      <c r="D4" s="645"/>
      <c r="E4" s="645"/>
      <c r="F4" s="645"/>
    </row>
    <row r="5" spans="1:8" x14ac:dyDescent="0.25">
      <c r="B5" s="176"/>
      <c r="C5" s="175" t="s">
        <v>457</v>
      </c>
      <c r="D5" s="175" t="s">
        <v>458</v>
      </c>
      <c r="E5" s="175" t="s">
        <v>459</v>
      </c>
      <c r="F5" s="175" t="s">
        <v>460</v>
      </c>
    </row>
    <row r="6" spans="1:8" x14ac:dyDescent="0.25">
      <c r="B6" s="176" t="s">
        <v>461</v>
      </c>
      <c r="C6" s="177">
        <f>C20</f>
        <v>17775861.994000003</v>
      </c>
      <c r="D6" s="177">
        <f>D20</f>
        <v>17287890.993999999</v>
      </c>
      <c r="E6" s="177">
        <f t="shared" ref="E6" si="0">SUM(E7:E9)</f>
        <v>487971.00000000373</v>
      </c>
      <c r="F6" s="178">
        <f>SUM(D6/C6)</f>
        <v>0.97254867301711101</v>
      </c>
    </row>
    <row r="7" spans="1:8" x14ac:dyDescent="0.25">
      <c r="B7" s="154" t="s">
        <v>462</v>
      </c>
      <c r="C7" s="179">
        <f>C6-C8</f>
        <v>17598861.994000003</v>
      </c>
      <c r="D7" s="179">
        <f>D6-D8</f>
        <v>17209890.993999999</v>
      </c>
      <c r="E7" s="179">
        <f>SUM(C7-D7)</f>
        <v>388971.00000000373</v>
      </c>
      <c r="F7" s="180">
        <f>SUM(D7/C7)</f>
        <v>0.97789794589373924</v>
      </c>
      <c r="G7" s="113"/>
      <c r="H7" s="114"/>
    </row>
    <row r="8" spans="1:8" x14ac:dyDescent="0.25">
      <c r="B8" s="154" t="s">
        <v>463</v>
      </c>
      <c r="C8" s="179">
        <v>177000</v>
      </c>
      <c r="D8" s="179">
        <v>78000</v>
      </c>
      <c r="E8" s="179">
        <f>SUM(C8-D8)</f>
        <v>99000</v>
      </c>
      <c r="F8" s="180">
        <f>SUM(D8/C8)</f>
        <v>0.44067796610169491</v>
      </c>
      <c r="G8" s="113"/>
    </row>
    <row r="9" spans="1:8" x14ac:dyDescent="0.25">
      <c r="B9" s="154" t="s">
        <v>464</v>
      </c>
      <c r="C9" s="179">
        <v>0</v>
      </c>
      <c r="D9" s="179">
        <v>0</v>
      </c>
      <c r="E9" s="179">
        <f>SUM(C9-D9)</f>
        <v>0</v>
      </c>
      <c r="F9" s="180" t="e">
        <f>SUM(D9/C9)</f>
        <v>#DIV/0!</v>
      </c>
    </row>
    <row r="18" spans="2:16" x14ac:dyDescent="0.25">
      <c r="B18" s="646" t="s">
        <v>465</v>
      </c>
      <c r="C18" s="645" t="s">
        <v>456</v>
      </c>
      <c r="D18" s="645"/>
      <c r="E18" s="645"/>
      <c r="F18" s="645"/>
    </row>
    <row r="19" spans="2:16" x14ac:dyDescent="0.25">
      <c r="B19" s="646"/>
      <c r="C19" s="175" t="s">
        <v>457</v>
      </c>
      <c r="D19" s="175" t="s">
        <v>458</v>
      </c>
      <c r="E19" s="175" t="s">
        <v>459</v>
      </c>
      <c r="F19" s="175" t="s">
        <v>460</v>
      </c>
    </row>
    <row r="20" spans="2:16" x14ac:dyDescent="0.25">
      <c r="B20" s="176" t="s">
        <v>461</v>
      </c>
      <c r="C20" s="177">
        <f>SUM(C21:C24)</f>
        <v>17775861.994000003</v>
      </c>
      <c r="D20" s="177">
        <f t="shared" ref="D20:E20" si="1">SUM(D21:D24)</f>
        <v>17287890.993999999</v>
      </c>
      <c r="E20" s="177">
        <f t="shared" si="1"/>
        <v>487971.00000000093</v>
      </c>
      <c r="F20" s="178">
        <f>SUM(D20/C20)</f>
        <v>0.97254867301711101</v>
      </c>
    </row>
    <row r="21" spans="2:16" x14ac:dyDescent="0.25">
      <c r="B21" s="154" t="s">
        <v>466</v>
      </c>
      <c r="C21" s="179">
        <v>2056460.61</v>
      </c>
      <c r="D21" s="179">
        <f>2056460.61</f>
        <v>2056460.61</v>
      </c>
      <c r="E21" s="179">
        <f>SUM(C21-D21)</f>
        <v>0</v>
      </c>
      <c r="F21" s="180">
        <f>SUM(D21/C21)</f>
        <v>1</v>
      </c>
    </row>
    <row r="22" spans="2:16" x14ac:dyDescent="0.25">
      <c r="B22" s="154" t="s">
        <v>467</v>
      </c>
      <c r="C22" s="179">
        <v>4371603.1780000003</v>
      </c>
      <c r="D22" s="179">
        <v>4278834.4179999996</v>
      </c>
      <c r="E22" s="179">
        <f>SUM(C22-D22)</f>
        <v>92768.760000000708</v>
      </c>
      <c r="F22" s="180">
        <f>SUM(D22/C22)</f>
        <v>0.97877923584948023</v>
      </c>
    </row>
    <row r="23" spans="2:16" x14ac:dyDescent="0.25">
      <c r="B23" s="154" t="s">
        <v>468</v>
      </c>
      <c r="C23" s="179">
        <v>11170798.206</v>
      </c>
      <c r="D23" s="179">
        <v>10874595.966</v>
      </c>
      <c r="E23" s="179">
        <f>SUM(C23-D23)</f>
        <v>296202.24000000022</v>
      </c>
      <c r="F23" s="180">
        <f>SUM(D23/C23)</f>
        <v>0.97348423679868235</v>
      </c>
      <c r="P23"/>
    </row>
    <row r="24" spans="2:16" x14ac:dyDescent="0.25">
      <c r="B24" s="154" t="s">
        <v>469</v>
      </c>
      <c r="C24" s="179">
        <f>177000</f>
        <v>177000</v>
      </c>
      <c r="D24" s="179">
        <v>78000</v>
      </c>
      <c r="E24" s="179">
        <f>SUM(C24-D24)</f>
        <v>99000</v>
      </c>
      <c r="F24" s="180">
        <f>SUM(D24/C24)</f>
        <v>0.44067796610169491</v>
      </c>
    </row>
    <row r="32" spans="2:16" x14ac:dyDescent="0.25">
      <c r="D32" s="225"/>
    </row>
    <row r="33" spans="1:4" ht="18.75" x14ac:dyDescent="0.25">
      <c r="A33" s="112" t="s">
        <v>470</v>
      </c>
      <c r="B33" s="112"/>
    </row>
    <row r="35" spans="1:4" x14ac:dyDescent="0.25">
      <c r="B35" s="181" t="s">
        <v>471</v>
      </c>
      <c r="C35" s="175">
        <v>2024</v>
      </c>
    </row>
    <row r="36" spans="1:4" x14ac:dyDescent="0.25">
      <c r="B36" s="181" t="s">
        <v>354</v>
      </c>
      <c r="C36" s="177">
        <f>SUM(C37:C39)</f>
        <v>18502426.11067193</v>
      </c>
    </row>
    <row r="37" spans="1:4" x14ac:dyDescent="0.25">
      <c r="B37" s="154" t="s">
        <v>462</v>
      </c>
      <c r="C37" s="179">
        <f>C43+C44+C45</f>
        <v>12941463.11067193</v>
      </c>
    </row>
    <row r="38" spans="1:4" x14ac:dyDescent="0.25">
      <c r="B38" s="154" t="s">
        <v>463</v>
      </c>
      <c r="C38" s="179">
        <f>C46</f>
        <v>5560963</v>
      </c>
    </row>
    <row r="39" spans="1:4" x14ac:dyDescent="0.25">
      <c r="B39" s="154" t="s">
        <v>464</v>
      </c>
      <c r="C39" s="179">
        <v>0</v>
      </c>
    </row>
    <row r="41" spans="1:4" x14ac:dyDescent="0.25">
      <c r="B41" s="181" t="s">
        <v>472</v>
      </c>
      <c r="C41" s="175">
        <v>2024</v>
      </c>
    </row>
    <row r="42" spans="1:4" x14ac:dyDescent="0.25">
      <c r="B42" s="181" t="s">
        <v>354</v>
      </c>
      <c r="C42" s="177">
        <f>SUM(C43:C46)</f>
        <v>18502426.11067193</v>
      </c>
    </row>
    <row r="43" spans="1:4" x14ac:dyDescent="0.25">
      <c r="B43" s="154" t="s">
        <v>466</v>
      </c>
      <c r="C43" s="179">
        <v>1350860.39907193</v>
      </c>
    </row>
    <row r="44" spans="1:4" x14ac:dyDescent="0.25">
      <c r="B44" s="154" t="s">
        <v>467</v>
      </c>
      <c r="C44" s="179">
        <v>4269345.84</v>
      </c>
      <c r="D44" s="179"/>
    </row>
    <row r="45" spans="1:4" x14ac:dyDescent="0.25">
      <c r="B45" s="154" t="s">
        <v>468</v>
      </c>
      <c r="C45" s="179">
        <v>7321256.8716000002</v>
      </c>
    </row>
    <row r="46" spans="1:4" ht="19.5" customHeight="1" x14ac:dyDescent="0.25">
      <c r="B46" s="154" t="s">
        <v>469</v>
      </c>
      <c r="C46" s="179">
        <v>5560963</v>
      </c>
    </row>
    <row r="49" spans="1:9" ht="18.75" x14ac:dyDescent="0.25">
      <c r="A49" s="112" t="s">
        <v>473</v>
      </c>
    </row>
    <row r="51" spans="1:9" x14ac:dyDescent="0.25">
      <c r="B51" s="122"/>
      <c r="C51" s="185"/>
      <c r="D51" s="185"/>
    </row>
    <row r="52" spans="1:9" ht="30.75" x14ac:dyDescent="0.25">
      <c r="B52" s="181" t="s">
        <v>474</v>
      </c>
      <c r="C52" s="187">
        <v>44197</v>
      </c>
      <c r="D52" s="187">
        <v>44562</v>
      </c>
      <c r="E52" s="187">
        <v>44927</v>
      </c>
      <c r="F52" s="187">
        <v>45292</v>
      </c>
      <c r="G52" s="175" t="s">
        <v>475</v>
      </c>
      <c r="H52" s="175" t="s">
        <v>476</v>
      </c>
      <c r="I52" s="175" t="s">
        <v>477</v>
      </c>
    </row>
    <row r="53" spans="1:9" x14ac:dyDescent="0.25">
      <c r="B53" s="184" t="s">
        <v>478</v>
      </c>
      <c r="C53" s="179"/>
      <c r="D53" s="179">
        <v>133</v>
      </c>
      <c r="E53" s="179">
        <v>135</v>
      </c>
      <c r="F53" s="179">
        <v>134</v>
      </c>
      <c r="G53" s="179">
        <v>137</v>
      </c>
      <c r="H53" s="179">
        <v>138</v>
      </c>
      <c r="I53" s="179">
        <v>138</v>
      </c>
    </row>
    <row r="54" spans="1:9" ht="25.5" x14ac:dyDescent="0.25">
      <c r="B54" s="184" t="s">
        <v>479</v>
      </c>
      <c r="C54" s="184">
        <v>0</v>
      </c>
      <c r="D54" s="191" t="e">
        <f t="shared" ref="D54:I54" si="2">SUM(((D53/C53)*100)-100)</f>
        <v>#DIV/0!</v>
      </c>
      <c r="E54" s="191">
        <f t="shared" si="2"/>
        <v>1.5037593984962569</v>
      </c>
      <c r="F54" s="191">
        <f t="shared" si="2"/>
        <v>-0.74074074074074758</v>
      </c>
      <c r="G54" s="191">
        <f t="shared" si="2"/>
        <v>2.2388059701492438</v>
      </c>
      <c r="H54" s="191">
        <f t="shared" si="2"/>
        <v>0.72992700729928117</v>
      </c>
      <c r="I54" s="191">
        <f t="shared" si="2"/>
        <v>0</v>
      </c>
    </row>
    <row r="55" spans="1:9" x14ac:dyDescent="0.25">
      <c r="B55" s="647" t="s">
        <v>480</v>
      </c>
      <c r="C55" s="648"/>
      <c r="D55" s="648"/>
      <c r="E55" s="648"/>
      <c r="F55" s="648"/>
      <c r="G55" s="648"/>
      <c r="H55" s="648"/>
      <c r="I55" s="649"/>
    </row>
    <row r="56" spans="1:9" x14ac:dyDescent="0.25">
      <c r="B56" s="186"/>
      <c r="C56" s="186"/>
      <c r="D56" s="186"/>
      <c r="E56" s="186"/>
      <c r="F56" s="186"/>
      <c r="G56" s="186"/>
      <c r="H56" s="186"/>
    </row>
    <row r="57" spans="1:9" x14ac:dyDescent="0.25">
      <c r="B57" s="186"/>
      <c r="C57" s="186"/>
      <c r="D57" s="186"/>
      <c r="E57" s="186"/>
      <c r="F57" s="186"/>
      <c r="G57" s="186"/>
      <c r="H57" s="186"/>
    </row>
    <row r="58" spans="1:9" x14ac:dyDescent="0.25">
      <c r="B58" s="186"/>
      <c r="C58" s="186"/>
      <c r="D58" s="186"/>
      <c r="E58" s="192"/>
      <c r="F58" s="192"/>
      <c r="G58" s="192"/>
      <c r="H58" s="192"/>
      <c r="I58" s="192"/>
    </row>
    <row r="59" spans="1:9" ht="153" x14ac:dyDescent="0.25">
      <c r="B59" s="492" t="s">
        <v>481</v>
      </c>
      <c r="C59" s="186"/>
      <c r="D59" s="186"/>
      <c r="E59" s="186"/>
      <c r="F59" s="186"/>
      <c r="G59" s="186"/>
      <c r="H59" s="186"/>
    </row>
    <row r="60" spans="1:9" x14ac:dyDescent="0.25">
      <c r="B60" s="186"/>
      <c r="C60" s="186"/>
      <c r="D60" s="186"/>
      <c r="E60" s="186"/>
      <c r="F60" s="186"/>
      <c r="G60" s="186"/>
      <c r="H60" s="186"/>
    </row>
    <row r="61" spans="1:9" x14ac:dyDescent="0.25">
      <c r="B61" s="122"/>
      <c r="C61" s="645" t="s">
        <v>482</v>
      </c>
      <c r="D61" s="650"/>
      <c r="E61" s="650"/>
      <c r="F61" s="645" t="s">
        <v>483</v>
      </c>
      <c r="G61" s="650"/>
      <c r="H61" s="650"/>
    </row>
    <row r="62" spans="1:9" x14ac:dyDescent="0.25">
      <c r="B62" s="181" t="s">
        <v>484</v>
      </c>
      <c r="C62" s="188" t="s">
        <v>485</v>
      </c>
      <c r="D62" s="189" t="s">
        <v>486</v>
      </c>
      <c r="E62" s="189" t="s">
        <v>354</v>
      </c>
      <c r="F62" s="188" t="s">
        <v>485</v>
      </c>
      <c r="G62" s="189" t="s">
        <v>486</v>
      </c>
      <c r="H62" s="189" t="s">
        <v>354</v>
      </c>
    </row>
    <row r="63" spans="1:9" x14ac:dyDescent="0.25">
      <c r="B63" s="182" t="s">
        <v>354</v>
      </c>
      <c r="C63" s="183">
        <f>SUM(C64:C75)</f>
        <v>49</v>
      </c>
      <c r="D63" s="183">
        <f>SUM(D64:D75)</f>
        <v>2</v>
      </c>
      <c r="E63" s="183">
        <f>SUM(E64:E75)</f>
        <v>51</v>
      </c>
      <c r="F63" s="183">
        <f>SUM(F64:F75)</f>
        <v>51</v>
      </c>
      <c r="G63" s="183">
        <f t="shared" ref="G63:H63" si="3">SUM(G64:G75)</f>
        <v>4</v>
      </c>
      <c r="H63" s="183">
        <f t="shared" si="3"/>
        <v>55</v>
      </c>
    </row>
    <row r="64" spans="1:9" x14ac:dyDescent="0.25">
      <c r="B64" s="491" t="s">
        <v>487</v>
      </c>
      <c r="C64" s="179">
        <f>3+2+1+1</f>
        <v>7</v>
      </c>
      <c r="D64" s="179">
        <v>1</v>
      </c>
      <c r="E64" s="167">
        <f>SUM(C64:D64)</f>
        <v>8</v>
      </c>
      <c r="F64" s="179">
        <f>4+2+1+1</f>
        <v>8</v>
      </c>
      <c r="G64" s="179">
        <v>0</v>
      </c>
      <c r="H64" s="167">
        <f>SUM(F64:G64)</f>
        <v>8</v>
      </c>
    </row>
    <row r="65" spans="2:8" x14ac:dyDescent="0.25">
      <c r="B65" s="316" t="s">
        <v>488</v>
      </c>
      <c r="C65" s="179">
        <v>1</v>
      </c>
      <c r="D65" s="179"/>
      <c r="E65" s="167">
        <f t="shared" ref="E65:E75" si="4">SUM(C65:D65)</f>
        <v>1</v>
      </c>
      <c r="F65" s="179">
        <v>1</v>
      </c>
      <c r="G65" s="179">
        <v>1</v>
      </c>
      <c r="H65" s="167">
        <f t="shared" ref="H65:H75" si="5">SUM(F65:G65)</f>
        <v>2</v>
      </c>
    </row>
    <row r="66" spans="2:8" x14ac:dyDescent="0.25">
      <c r="B66" s="491" t="s">
        <v>489</v>
      </c>
      <c r="C66" s="179">
        <v>1</v>
      </c>
      <c r="D66" s="179">
        <v>1</v>
      </c>
      <c r="E66" s="167">
        <f t="shared" si="4"/>
        <v>2</v>
      </c>
      <c r="F66" s="179">
        <v>2</v>
      </c>
      <c r="G66" s="179">
        <v>0</v>
      </c>
      <c r="H66" s="167">
        <f t="shared" si="5"/>
        <v>2</v>
      </c>
    </row>
    <row r="67" spans="2:8" x14ac:dyDescent="0.25">
      <c r="B67" s="316" t="s">
        <v>490</v>
      </c>
      <c r="C67" s="179">
        <f>1+1+2</f>
        <v>4</v>
      </c>
      <c r="D67" s="179"/>
      <c r="E67" s="167">
        <f t="shared" si="4"/>
        <v>4</v>
      </c>
      <c r="F67" s="179">
        <f>1+1+2</f>
        <v>4</v>
      </c>
      <c r="G67" s="179">
        <v>1</v>
      </c>
      <c r="H67" s="167">
        <f t="shared" si="5"/>
        <v>5</v>
      </c>
    </row>
    <row r="68" spans="2:8" x14ac:dyDescent="0.25">
      <c r="B68" s="491" t="s">
        <v>491</v>
      </c>
      <c r="C68" s="179">
        <v>1</v>
      </c>
      <c r="D68" s="179"/>
      <c r="E68" s="167">
        <f t="shared" si="4"/>
        <v>1</v>
      </c>
      <c r="F68" s="179">
        <v>1</v>
      </c>
      <c r="G68" s="179">
        <v>1</v>
      </c>
      <c r="H68" s="167">
        <f t="shared" si="5"/>
        <v>2</v>
      </c>
    </row>
    <row r="69" spans="2:8" x14ac:dyDescent="0.25">
      <c r="B69" s="490" t="s">
        <v>492</v>
      </c>
      <c r="C69" s="179">
        <v>2</v>
      </c>
      <c r="D69" s="179"/>
      <c r="E69" s="167">
        <f t="shared" si="4"/>
        <v>2</v>
      </c>
      <c r="F69" s="179">
        <v>2</v>
      </c>
      <c r="G69" s="179">
        <v>1</v>
      </c>
      <c r="H69" s="167">
        <f t="shared" si="5"/>
        <v>3</v>
      </c>
    </row>
    <row r="70" spans="2:8" x14ac:dyDescent="0.25">
      <c r="B70" s="490" t="s">
        <v>493</v>
      </c>
      <c r="C70" s="179">
        <f>2+1+3</f>
        <v>6</v>
      </c>
      <c r="D70" s="179"/>
      <c r="E70" s="167">
        <f t="shared" si="4"/>
        <v>6</v>
      </c>
      <c r="F70" s="179">
        <f>2+1+3</f>
        <v>6</v>
      </c>
      <c r="G70" s="179"/>
      <c r="H70" s="167">
        <f t="shared" si="5"/>
        <v>6</v>
      </c>
    </row>
    <row r="71" spans="2:8" x14ac:dyDescent="0.25">
      <c r="B71" s="490" t="s">
        <v>494</v>
      </c>
      <c r="C71" s="179">
        <f>2+1+1</f>
        <v>4</v>
      </c>
      <c r="D71" s="179"/>
      <c r="E71" s="167">
        <f t="shared" si="4"/>
        <v>4</v>
      </c>
      <c r="F71" s="179">
        <f>2+1+1</f>
        <v>4</v>
      </c>
      <c r="G71" s="179"/>
      <c r="H71" s="167">
        <f t="shared" si="5"/>
        <v>4</v>
      </c>
    </row>
    <row r="72" spans="2:8" x14ac:dyDescent="0.25">
      <c r="B72" s="154" t="s">
        <v>495</v>
      </c>
      <c r="C72" s="179">
        <v>4</v>
      </c>
      <c r="D72" s="179"/>
      <c r="E72" s="167">
        <f t="shared" si="4"/>
        <v>4</v>
      </c>
      <c r="F72" s="179">
        <v>4</v>
      </c>
      <c r="G72" s="179"/>
      <c r="H72" s="167">
        <f t="shared" si="5"/>
        <v>4</v>
      </c>
    </row>
    <row r="73" spans="2:8" ht="25.5" x14ac:dyDescent="0.25">
      <c r="B73" s="154" t="s">
        <v>496</v>
      </c>
      <c r="C73" s="179">
        <v>9</v>
      </c>
      <c r="D73" s="179"/>
      <c r="E73" s="167">
        <f t="shared" si="4"/>
        <v>9</v>
      </c>
      <c r="F73" s="179">
        <v>9</v>
      </c>
      <c r="G73" s="179"/>
      <c r="H73" s="167">
        <f t="shared" si="5"/>
        <v>9</v>
      </c>
    </row>
    <row r="74" spans="2:8" x14ac:dyDescent="0.25">
      <c r="B74" s="154" t="s">
        <v>497</v>
      </c>
      <c r="C74" s="179">
        <v>8</v>
      </c>
      <c r="D74" s="179"/>
      <c r="E74" s="167">
        <f t="shared" si="4"/>
        <v>8</v>
      </c>
      <c r="F74" s="179">
        <v>8</v>
      </c>
      <c r="G74" s="179"/>
      <c r="H74" s="167">
        <f t="shared" si="5"/>
        <v>8</v>
      </c>
    </row>
    <row r="75" spans="2:8" x14ac:dyDescent="0.25">
      <c r="B75" s="154" t="s">
        <v>498</v>
      </c>
      <c r="C75" s="179">
        <v>2</v>
      </c>
      <c r="D75" s="179"/>
      <c r="E75" s="167">
        <f t="shared" si="4"/>
        <v>2</v>
      </c>
      <c r="F75" s="168">
        <v>2</v>
      </c>
      <c r="G75" s="168"/>
      <c r="H75" s="167">
        <f t="shared" si="5"/>
        <v>2</v>
      </c>
    </row>
    <row r="76" spans="2:8" x14ac:dyDescent="0.25">
      <c r="B76" s="186"/>
      <c r="C76" s="186"/>
      <c r="D76" s="186"/>
      <c r="E76" s="186"/>
      <c r="F76" s="186"/>
      <c r="G76" s="186"/>
      <c r="H76" s="186"/>
    </row>
    <row r="77" spans="2:8" x14ac:dyDescent="0.25">
      <c r="B77" s="186"/>
      <c r="C77" s="186"/>
      <c r="D77" s="186"/>
      <c r="E77" s="186"/>
      <c r="F77" s="186"/>
      <c r="G77" s="186"/>
      <c r="H77" s="186"/>
    </row>
    <row r="78" spans="2:8" x14ac:dyDescent="0.25">
      <c r="B78" s="186"/>
      <c r="C78" s="186"/>
      <c r="D78" s="186"/>
      <c r="E78" s="186"/>
      <c r="F78" s="186"/>
      <c r="G78" s="186"/>
      <c r="H78" s="186"/>
    </row>
    <row r="79" spans="2:8" x14ac:dyDescent="0.25">
      <c r="B79" s="186"/>
      <c r="C79" s="186"/>
      <c r="D79" s="186"/>
      <c r="E79" s="186"/>
      <c r="F79" s="186"/>
      <c r="G79" s="186"/>
      <c r="H79" s="186"/>
    </row>
    <row r="80" spans="2:8" x14ac:dyDescent="0.25">
      <c r="B80" s="186"/>
      <c r="C80" s="186"/>
      <c r="D80" s="186"/>
      <c r="E80" s="186"/>
      <c r="F80" s="186"/>
      <c r="G80" s="186"/>
      <c r="H80" s="186"/>
    </row>
    <row r="81" spans="2:8" x14ac:dyDescent="0.25">
      <c r="B81" s="122"/>
      <c r="C81" s="642" t="s">
        <v>482</v>
      </c>
      <c r="D81" s="643"/>
      <c r="E81" s="644"/>
      <c r="F81" s="642" t="s">
        <v>483</v>
      </c>
      <c r="G81" s="643"/>
      <c r="H81" s="644"/>
    </row>
    <row r="82" spans="2:8" x14ac:dyDescent="0.25">
      <c r="B82" s="181" t="s">
        <v>484</v>
      </c>
      <c r="C82" s="188" t="s">
        <v>485</v>
      </c>
      <c r="D82" s="189" t="s">
        <v>486</v>
      </c>
      <c r="E82" s="189" t="s">
        <v>354</v>
      </c>
      <c r="F82" s="188" t="s">
        <v>485</v>
      </c>
      <c r="G82" s="189" t="s">
        <v>486</v>
      </c>
      <c r="H82" s="189" t="s">
        <v>354</v>
      </c>
    </row>
    <row r="83" spans="2:8" x14ac:dyDescent="0.25">
      <c r="B83" s="182" t="s">
        <v>354</v>
      </c>
      <c r="C83" s="183"/>
      <c r="D83" s="183"/>
      <c r="E83" s="183"/>
      <c r="F83" s="183"/>
      <c r="G83" s="183"/>
      <c r="H83" s="183"/>
    </row>
    <row r="84" spans="2:8" x14ac:dyDescent="0.25">
      <c r="B84" s="155" t="s">
        <v>499</v>
      </c>
      <c r="C84" s="179"/>
      <c r="D84" s="179"/>
      <c r="E84" s="167"/>
      <c r="F84" s="179"/>
      <c r="G84" s="179"/>
      <c r="H84" s="167"/>
    </row>
    <row r="85" spans="2:8" ht="25.5" x14ac:dyDescent="0.25">
      <c r="B85" s="155" t="s">
        <v>500</v>
      </c>
      <c r="C85" s="179"/>
      <c r="D85" s="179"/>
      <c r="E85" s="167"/>
      <c r="F85" s="179"/>
      <c r="G85" s="179"/>
      <c r="H85" s="167"/>
    </row>
    <row r="86" spans="2:8" x14ac:dyDescent="0.25">
      <c r="B86" s="155" t="s">
        <v>501</v>
      </c>
      <c r="C86" s="179"/>
      <c r="D86" s="179"/>
      <c r="E86" s="167"/>
      <c r="F86" s="179"/>
      <c r="G86" s="179"/>
      <c r="H86" s="167"/>
    </row>
    <row r="87" spans="2:8" ht="25.5" x14ac:dyDescent="0.25">
      <c r="B87" s="155" t="s">
        <v>502</v>
      </c>
      <c r="C87" s="179"/>
      <c r="D87" s="179"/>
      <c r="E87" s="167"/>
      <c r="F87" s="179"/>
      <c r="G87" s="179"/>
      <c r="H87" s="167"/>
    </row>
    <row r="88" spans="2:8" x14ac:dyDescent="0.25">
      <c r="B88" s="155" t="s">
        <v>503</v>
      </c>
      <c r="C88" s="179"/>
      <c r="D88" s="179"/>
      <c r="E88" s="167"/>
      <c r="F88" s="179"/>
      <c r="G88" s="179"/>
      <c r="H88" s="167"/>
    </row>
    <row r="89" spans="2:8" x14ac:dyDescent="0.25">
      <c r="B89" s="155" t="s">
        <v>504</v>
      </c>
      <c r="C89" s="179"/>
      <c r="D89" s="179"/>
      <c r="E89" s="167"/>
      <c r="F89" s="179"/>
      <c r="G89" s="179"/>
      <c r="H89" s="167"/>
    </row>
    <row r="90" spans="2:8" x14ac:dyDescent="0.25">
      <c r="B90" s="155" t="s">
        <v>505</v>
      </c>
      <c r="C90" s="179"/>
      <c r="D90" s="179"/>
      <c r="E90" s="167"/>
      <c r="F90" s="179"/>
      <c r="G90" s="179"/>
      <c r="H90" s="167"/>
    </row>
    <row r="91" spans="2:8" x14ac:dyDescent="0.25">
      <c r="B91" s="155" t="s">
        <v>506</v>
      </c>
      <c r="C91" s="179"/>
      <c r="D91" s="179"/>
      <c r="E91" s="167"/>
      <c r="F91" s="179"/>
      <c r="G91" s="179"/>
      <c r="H91" s="167"/>
    </row>
    <row r="92" spans="2:8" x14ac:dyDescent="0.25">
      <c r="B92" s="155" t="s">
        <v>507</v>
      </c>
      <c r="C92" s="179"/>
      <c r="D92" s="179"/>
      <c r="E92" s="167"/>
      <c r="F92" s="179"/>
      <c r="G92" s="179"/>
      <c r="H92" s="167"/>
    </row>
    <row r="93" spans="2:8" x14ac:dyDescent="0.25">
      <c r="B93" s="155" t="s">
        <v>508</v>
      </c>
      <c r="C93" s="179"/>
      <c r="D93" s="179"/>
      <c r="E93" s="167"/>
      <c r="F93" s="179"/>
      <c r="G93" s="179"/>
      <c r="H93" s="167"/>
    </row>
    <row r="94" spans="2:8" x14ac:dyDescent="0.25">
      <c r="B94" s="155" t="s">
        <v>509</v>
      </c>
      <c r="C94" s="179"/>
      <c r="D94" s="179"/>
      <c r="E94" s="167"/>
      <c r="F94" s="179"/>
      <c r="G94" s="179"/>
      <c r="H94" s="167"/>
    </row>
    <row r="95" spans="2:8" x14ac:dyDescent="0.25">
      <c r="B95" s="155" t="s">
        <v>510</v>
      </c>
      <c r="C95" s="179"/>
      <c r="D95" s="179"/>
      <c r="E95" s="167"/>
      <c r="F95" s="168"/>
      <c r="G95" s="168"/>
      <c r="H95" s="167"/>
    </row>
    <row r="96" spans="2:8" x14ac:dyDescent="0.25">
      <c r="B96" s="190" t="s">
        <v>511</v>
      </c>
    </row>
    <row r="99" spans="2:3" x14ac:dyDescent="0.25">
      <c r="B99" s="161" t="s">
        <v>512</v>
      </c>
      <c r="C99" s="1" t="s">
        <v>513</v>
      </c>
    </row>
    <row r="100" spans="2:3" x14ac:dyDescent="0.25">
      <c r="B100" s="161" t="s">
        <v>514</v>
      </c>
      <c r="C100" s="1" t="s">
        <v>515</v>
      </c>
    </row>
    <row r="101" spans="2:3" x14ac:dyDescent="0.25">
      <c r="B101" s="161" t="s">
        <v>516</v>
      </c>
      <c r="C101" s="1" t="s">
        <v>517</v>
      </c>
    </row>
    <row r="102" spans="2:3" x14ac:dyDescent="0.25">
      <c r="B102" s="161" t="s">
        <v>518</v>
      </c>
      <c r="C102" s="1" t="s">
        <v>519</v>
      </c>
    </row>
    <row r="103" spans="2:3" x14ac:dyDescent="0.25">
      <c r="B103" s="161" t="s">
        <v>487</v>
      </c>
      <c r="C103" s="1" t="s">
        <v>520</v>
      </c>
    </row>
    <row r="104" spans="2:3" x14ac:dyDescent="0.25">
      <c r="B104" s="161" t="s">
        <v>521</v>
      </c>
      <c r="C104" s="1" t="s">
        <v>522</v>
      </c>
    </row>
    <row r="105" spans="2:3" x14ac:dyDescent="0.25">
      <c r="B105" s="161" t="s">
        <v>523</v>
      </c>
      <c r="C105" s="1" t="s">
        <v>524</v>
      </c>
    </row>
    <row r="106" spans="2:3" x14ac:dyDescent="0.25">
      <c r="B106" s="161" t="s">
        <v>525</v>
      </c>
      <c r="C106" s="1" t="s">
        <v>526</v>
      </c>
    </row>
    <row r="107" spans="2:3" x14ac:dyDescent="0.25">
      <c r="B107" s="161" t="s">
        <v>527</v>
      </c>
      <c r="C107" s="1" t="s">
        <v>488</v>
      </c>
    </row>
    <row r="108" spans="2:3" x14ac:dyDescent="0.25">
      <c r="B108" s="161" t="s">
        <v>491</v>
      </c>
      <c r="C108" s="1" t="s">
        <v>528</v>
      </c>
    </row>
    <row r="109" spans="2:3" x14ac:dyDescent="0.25">
      <c r="B109" s="161" t="s">
        <v>489</v>
      </c>
      <c r="C109" s="1" t="s">
        <v>529</v>
      </c>
    </row>
    <row r="110" spans="2:3" x14ac:dyDescent="0.25">
      <c r="C110" s="1" t="s">
        <v>530</v>
      </c>
    </row>
    <row r="111" spans="2:3" x14ac:dyDescent="0.25">
      <c r="C111" s="1" t="s">
        <v>531</v>
      </c>
    </row>
    <row r="112" spans="2:3" x14ac:dyDescent="0.25">
      <c r="C112" s="1" t="s">
        <v>532</v>
      </c>
    </row>
    <row r="113" spans="3:3" x14ac:dyDescent="0.25">
      <c r="C113" s="1" t="s">
        <v>533</v>
      </c>
    </row>
    <row r="114" spans="3:3" x14ac:dyDescent="0.25">
      <c r="C114" s="1" t="s">
        <v>534</v>
      </c>
    </row>
    <row r="115" spans="3:3" x14ac:dyDescent="0.25">
      <c r="C115" s="1" t="s">
        <v>535</v>
      </c>
    </row>
    <row r="116" spans="3:3" x14ac:dyDescent="0.25">
      <c r="C116" s="1" t="s">
        <v>536</v>
      </c>
    </row>
    <row r="117" spans="3:3" x14ac:dyDescent="0.25">
      <c r="C117" s="1" t="s">
        <v>537</v>
      </c>
    </row>
    <row r="118" spans="3:3" x14ac:dyDescent="0.25">
      <c r="C118" s="1" t="s">
        <v>538</v>
      </c>
    </row>
    <row r="119" spans="3:3" x14ac:dyDescent="0.25">
      <c r="C119" s="1" t="s">
        <v>539</v>
      </c>
    </row>
    <row r="120" spans="3:3" x14ac:dyDescent="0.25">
      <c r="C120" s="1" t="s">
        <v>540</v>
      </c>
    </row>
    <row r="121" spans="3:3" x14ac:dyDescent="0.25">
      <c r="C121" s="1" t="s">
        <v>541</v>
      </c>
    </row>
    <row r="122" spans="3:3" x14ac:dyDescent="0.25">
      <c r="C122" s="1" t="s">
        <v>542</v>
      </c>
    </row>
    <row r="123" spans="3:3" x14ac:dyDescent="0.25">
      <c r="C123" s="1" t="s">
        <v>490</v>
      </c>
    </row>
  </sheetData>
  <mergeCells count="8">
    <mergeCell ref="C81:E81"/>
    <mergeCell ref="F81:H81"/>
    <mergeCell ref="C4:F4"/>
    <mergeCell ref="B18:B19"/>
    <mergeCell ref="C18:F18"/>
    <mergeCell ref="B55:I55"/>
    <mergeCell ref="C61:E61"/>
    <mergeCell ref="F61:H61"/>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zoomScale="70" zoomScaleNormal="70" workbookViewId="0">
      <selection activeCell="I13" sqref="I13"/>
    </sheetView>
  </sheetViews>
  <sheetFormatPr defaultColWidth="8.85546875" defaultRowHeight="15" x14ac:dyDescent="0.25"/>
  <cols>
    <col min="1" max="1" width="52.140625" style="39" customWidth="1"/>
    <col min="2" max="5" width="11.85546875" style="39" customWidth="1"/>
    <col min="6" max="12" width="14.7109375" style="39" customWidth="1"/>
    <col min="13" max="16384" width="8.85546875" style="39"/>
  </cols>
  <sheetData>
    <row r="2" spans="1:12" ht="15.75" thickBot="1" x14ac:dyDescent="0.3"/>
    <row r="3" spans="1:12" ht="168.75" thickBot="1" x14ac:dyDescent="0.3">
      <c r="A3" s="336" t="s">
        <v>543</v>
      </c>
      <c r="B3" s="40" t="s">
        <v>354</v>
      </c>
      <c r="C3" s="40">
        <v>2023</v>
      </c>
      <c r="D3" s="40">
        <v>2024</v>
      </c>
      <c r="E3" s="40">
        <v>2025</v>
      </c>
      <c r="F3" s="106" t="s">
        <v>544</v>
      </c>
      <c r="G3" s="107" t="s">
        <v>545</v>
      </c>
      <c r="H3" s="107" t="s">
        <v>546</v>
      </c>
      <c r="I3" s="107" t="s">
        <v>547</v>
      </c>
      <c r="J3" s="107" t="s">
        <v>548</v>
      </c>
      <c r="K3" s="107" t="s">
        <v>549</v>
      </c>
      <c r="L3" s="108" t="s">
        <v>550</v>
      </c>
    </row>
    <row r="4" spans="1:12" x14ac:dyDescent="0.25">
      <c r="A4" s="41" t="s">
        <v>551</v>
      </c>
      <c r="B4" s="42"/>
      <c r="C4" s="42"/>
      <c r="D4" s="43"/>
      <c r="E4" s="43"/>
      <c r="L4" s="44"/>
    </row>
    <row r="5" spans="1:12" ht="24" x14ac:dyDescent="0.25">
      <c r="A5" s="75" t="s">
        <v>7</v>
      </c>
      <c r="B5" s="105">
        <f>SUM(C5:E5)</f>
        <v>4071459.4</v>
      </c>
      <c r="C5" s="45">
        <f>Tegevuskava!D23</f>
        <v>88500</v>
      </c>
      <c r="D5" s="45">
        <f>Tegevuskava!E23</f>
        <v>2699050</v>
      </c>
      <c r="E5" s="45">
        <f>Tegevuskava!F23</f>
        <v>1283909.3999999999</v>
      </c>
      <c r="F5" s="46" t="s">
        <v>302</v>
      </c>
      <c r="G5" s="46" t="s">
        <v>302</v>
      </c>
      <c r="H5" s="46" t="s">
        <v>302</v>
      </c>
      <c r="I5" s="46" t="s">
        <v>302</v>
      </c>
      <c r="J5" s="46" t="s">
        <v>302</v>
      </c>
      <c r="K5" s="46" t="s">
        <v>302</v>
      </c>
      <c r="L5" s="47" t="s">
        <v>302</v>
      </c>
    </row>
    <row r="6" spans="1:12" ht="24" x14ac:dyDescent="0.25">
      <c r="A6" s="75" t="s">
        <v>552</v>
      </c>
      <c r="B6" s="105">
        <f t="shared" ref="B6:B8" si="0">SUM(C6:E6)</f>
        <v>0</v>
      </c>
      <c r="C6" s="45">
        <f>Tegevuskava!D24</f>
        <v>0</v>
      </c>
      <c r="D6" s="45">
        <f>Tegevuskava!E24</f>
        <v>0</v>
      </c>
      <c r="E6" s="45">
        <f>Tegevuskava!F24</f>
        <v>0</v>
      </c>
      <c r="F6" s="46" t="s">
        <v>302</v>
      </c>
      <c r="G6" s="46" t="s">
        <v>302</v>
      </c>
      <c r="H6" s="46" t="s">
        <v>302</v>
      </c>
      <c r="I6" s="46" t="s">
        <v>302</v>
      </c>
      <c r="J6" s="46" t="s">
        <v>302</v>
      </c>
      <c r="K6" s="46" t="s">
        <v>302</v>
      </c>
      <c r="L6" s="47" t="s">
        <v>302</v>
      </c>
    </row>
    <row r="7" spans="1:12" ht="36" x14ac:dyDescent="0.25">
      <c r="A7" s="75" t="s">
        <v>553</v>
      </c>
      <c r="B7" s="105">
        <f t="shared" si="0"/>
        <v>0</v>
      </c>
      <c r="C7" s="45">
        <f>Tegevuskava!D25</f>
        <v>0</v>
      </c>
      <c r="D7" s="45">
        <f>Tegevuskava!E25</f>
        <v>0</v>
      </c>
      <c r="E7" s="45">
        <f>Tegevuskava!F25</f>
        <v>0</v>
      </c>
      <c r="F7" s="46" t="s">
        <v>302</v>
      </c>
      <c r="G7" s="46" t="s">
        <v>302</v>
      </c>
      <c r="H7" s="46" t="s">
        <v>302</v>
      </c>
      <c r="I7" s="46" t="s">
        <v>302</v>
      </c>
      <c r="J7" s="46" t="s">
        <v>302</v>
      </c>
      <c r="K7" s="46" t="s">
        <v>302</v>
      </c>
      <c r="L7" s="47" t="s">
        <v>302</v>
      </c>
    </row>
    <row r="8" spans="1:12" ht="24.75" thickBot="1" x14ac:dyDescent="0.3">
      <c r="A8" s="76" t="s">
        <v>554</v>
      </c>
      <c r="B8" s="105">
        <f t="shared" si="0"/>
        <v>5334879.8599999994</v>
      </c>
      <c r="C8" s="45">
        <f>Tegevuskava!D26</f>
        <v>199680</v>
      </c>
      <c r="D8" s="45">
        <f>Tegevuskava!E26</f>
        <v>3773459.86</v>
      </c>
      <c r="E8" s="45">
        <f>Tegevuskava!F26</f>
        <v>1361740</v>
      </c>
      <c r="F8" s="46" t="s">
        <v>302</v>
      </c>
      <c r="G8" s="46" t="s">
        <v>302</v>
      </c>
      <c r="H8" s="46" t="s">
        <v>302</v>
      </c>
      <c r="I8" s="46" t="s">
        <v>302</v>
      </c>
      <c r="J8" s="46" t="s">
        <v>302</v>
      </c>
      <c r="K8" s="46" t="s">
        <v>302</v>
      </c>
      <c r="L8" s="47" t="s">
        <v>302</v>
      </c>
    </row>
    <row r="9" spans="1:12" ht="15.75" thickBot="1" x14ac:dyDescent="0.3">
      <c r="A9" s="48" t="s">
        <v>555</v>
      </c>
      <c r="B9" s="104">
        <f>SUM(B5:B8)</f>
        <v>9406339.2599999998</v>
      </c>
      <c r="C9" s="104">
        <f>SUM(C5:C8)</f>
        <v>288180</v>
      </c>
      <c r="D9" s="104">
        <f>SUM(D5:D8)</f>
        <v>6472509.8599999994</v>
      </c>
      <c r="E9" s="104">
        <f>SUM(E5:E8)</f>
        <v>2645649.4</v>
      </c>
      <c r="F9" s="49"/>
      <c r="G9" s="49"/>
      <c r="H9" s="49"/>
      <c r="I9" s="49"/>
      <c r="J9" s="49"/>
      <c r="K9" s="49"/>
      <c r="L9" s="50"/>
    </row>
    <row r="10" spans="1:12" ht="15.75" thickBot="1" x14ac:dyDescent="0.3"/>
    <row r="11" spans="1:12" x14ac:dyDescent="0.25">
      <c r="A11" s="429" t="s">
        <v>25</v>
      </c>
      <c r="B11" s="652" t="s">
        <v>26</v>
      </c>
      <c r="C11" s="653"/>
      <c r="D11" s="653"/>
      <c r="E11" s="653"/>
      <c r="F11" s="653"/>
      <c r="G11" s="653"/>
      <c r="H11" s="653"/>
      <c r="I11" s="654"/>
    </row>
    <row r="12" spans="1:12" ht="30" x14ac:dyDescent="0.25">
      <c r="A12" s="430" t="s">
        <v>29</v>
      </c>
      <c r="B12" s="109" t="s">
        <v>556</v>
      </c>
      <c r="C12" s="110" t="s">
        <v>557</v>
      </c>
      <c r="D12" s="110" t="s">
        <v>558</v>
      </c>
      <c r="E12" s="110" t="s">
        <v>559</v>
      </c>
      <c r="F12" s="110" t="s">
        <v>560</v>
      </c>
      <c r="G12" s="110" t="s">
        <v>561</v>
      </c>
      <c r="H12" s="110" t="s">
        <v>562</v>
      </c>
      <c r="I12" s="431" t="s">
        <v>563</v>
      </c>
    </row>
    <row r="13" spans="1:12" ht="15.75" thickBot="1" x14ac:dyDescent="0.3">
      <c r="A13" s="432" t="s">
        <v>38</v>
      </c>
      <c r="B13" s="111">
        <f>'kuni 2025 detsember tegevuskava'!B19</f>
        <v>0</v>
      </c>
      <c r="C13" s="111">
        <f>'kuni 2025 detsember tegevuskava'!C19</f>
        <v>0</v>
      </c>
      <c r="D13" s="111">
        <f>'kuni 2025 detsember tegevuskava'!D19</f>
        <v>1540000</v>
      </c>
      <c r="E13" s="111">
        <f>'kuni 2025 detsember tegevuskava'!E19</f>
        <v>1540000</v>
      </c>
      <c r="F13" s="111">
        <f>'kuni 2025 detsember tegevuskava'!F19</f>
        <v>1540000</v>
      </c>
      <c r="G13" s="111">
        <f>'kuni 2025 detsember tegevuskava'!G19</f>
        <v>1540000</v>
      </c>
      <c r="H13" s="111">
        <f>'kuni 2025 detsember tegevuskava'!H19</f>
        <v>1540000</v>
      </c>
      <c r="I13" s="433">
        <f>'kuni 2025 detsember tegevuskava'!I19</f>
        <v>1540000</v>
      </c>
    </row>
    <row r="14" spans="1:12" x14ac:dyDescent="0.25">
      <c r="A14" s="434" t="s">
        <v>40</v>
      </c>
      <c r="B14" s="625" t="s">
        <v>41</v>
      </c>
      <c r="C14" s="626"/>
      <c r="D14" s="626"/>
      <c r="E14" s="626"/>
      <c r="F14" s="626"/>
      <c r="G14" s="626"/>
      <c r="H14" s="626"/>
      <c r="I14" s="651"/>
    </row>
    <row r="15" spans="1:12" ht="30" x14ac:dyDescent="0.25">
      <c r="A15" s="430" t="s">
        <v>29</v>
      </c>
      <c r="B15" s="109" t="s">
        <v>556</v>
      </c>
      <c r="C15" s="110" t="s">
        <v>557</v>
      </c>
      <c r="D15" s="110" t="s">
        <v>558</v>
      </c>
      <c r="E15" s="110" t="s">
        <v>559</v>
      </c>
      <c r="F15" s="110" t="s">
        <v>560</v>
      </c>
      <c r="G15" s="110" t="s">
        <v>561</v>
      </c>
      <c r="H15" s="110" t="s">
        <v>562</v>
      </c>
      <c r="I15" s="431" t="s">
        <v>563</v>
      </c>
    </row>
    <row r="16" spans="1:12" ht="15.75" thickBot="1" x14ac:dyDescent="0.3">
      <c r="A16" s="432" t="s">
        <v>38</v>
      </c>
      <c r="B16" s="111">
        <f>'kuni 2025 detsember tegevuskava'!B22</f>
        <v>0</v>
      </c>
      <c r="C16" s="111">
        <f>'kuni 2025 detsember tegevuskava'!C22</f>
        <v>6</v>
      </c>
      <c r="D16" s="111">
        <f>'kuni 2025 detsember tegevuskava'!D22</f>
        <v>8</v>
      </c>
      <c r="E16" s="111">
        <f>'kuni 2025 detsember tegevuskava'!E22</f>
        <v>9</v>
      </c>
      <c r="F16" s="111">
        <f>'kuni 2025 detsember tegevuskava'!F22</f>
        <v>0</v>
      </c>
      <c r="G16" s="111">
        <f>'kuni 2025 detsember tegevuskava'!G22</f>
        <v>0</v>
      </c>
      <c r="H16" s="111">
        <f>'kuni 2025 detsember tegevuskava'!H22</f>
        <v>0</v>
      </c>
      <c r="I16" s="433">
        <f>'kuni 2025 detsember tegevuskava'!I22</f>
        <v>20</v>
      </c>
    </row>
    <row r="17" spans="1:9" x14ac:dyDescent="0.25">
      <c r="A17" s="434" t="s">
        <v>40</v>
      </c>
      <c r="B17" s="625" t="s">
        <v>44</v>
      </c>
      <c r="C17" s="626"/>
      <c r="D17" s="626"/>
      <c r="E17" s="626"/>
      <c r="F17" s="626"/>
      <c r="G17" s="626"/>
      <c r="H17" s="626"/>
      <c r="I17" s="651"/>
    </row>
    <row r="18" spans="1:9" ht="30" x14ac:dyDescent="0.25">
      <c r="A18" s="430" t="s">
        <v>29</v>
      </c>
      <c r="B18" s="109" t="s">
        <v>556</v>
      </c>
      <c r="C18" s="110" t="s">
        <v>557</v>
      </c>
      <c r="D18" s="110" t="s">
        <v>558</v>
      </c>
      <c r="E18" s="110" t="s">
        <v>559</v>
      </c>
      <c r="F18" s="110" t="s">
        <v>560</v>
      </c>
      <c r="G18" s="110" t="s">
        <v>561</v>
      </c>
      <c r="H18" s="110" t="s">
        <v>562</v>
      </c>
      <c r="I18" s="431" t="s">
        <v>563</v>
      </c>
    </row>
    <row r="19" spans="1:9" ht="15.75" thickBot="1" x14ac:dyDescent="0.3">
      <c r="A19" s="432" t="s">
        <v>38</v>
      </c>
      <c r="B19" s="111">
        <f>'kuni 2025 detsember tegevuskava'!B25</f>
        <v>0</v>
      </c>
      <c r="C19" s="111">
        <f>'kuni 2025 detsember tegevuskava'!C25</f>
        <v>5</v>
      </c>
      <c r="D19" s="111">
        <f>'kuni 2025 detsember tegevuskava'!D25</f>
        <v>5</v>
      </c>
      <c r="E19" s="111">
        <f>'kuni 2025 detsember tegevuskava'!E25</f>
        <v>0</v>
      </c>
      <c r="F19" s="111">
        <f>'kuni 2025 detsember tegevuskava'!F25</f>
        <v>0</v>
      </c>
      <c r="G19" s="111">
        <f>'kuni 2025 detsember tegevuskava'!G25</f>
        <v>0</v>
      </c>
      <c r="H19" s="111">
        <f>'kuni 2025 detsember tegevuskava'!H25</f>
        <v>0</v>
      </c>
      <c r="I19" s="433">
        <f>'kuni 2025 detsember tegevuskava'!I25</f>
        <v>11</v>
      </c>
    </row>
    <row r="20" spans="1:9" ht="30" x14ac:dyDescent="0.25">
      <c r="A20" s="434" t="s">
        <v>47</v>
      </c>
      <c r="B20" s="625" t="s">
        <v>48</v>
      </c>
      <c r="C20" s="626"/>
      <c r="D20" s="626"/>
      <c r="E20" s="626"/>
      <c r="F20" s="626"/>
      <c r="G20" s="626"/>
      <c r="H20" s="626"/>
      <c r="I20" s="651"/>
    </row>
    <row r="21" spans="1:9" ht="30" x14ac:dyDescent="0.25">
      <c r="A21" s="430" t="s">
        <v>29</v>
      </c>
      <c r="B21" s="109" t="s">
        <v>556</v>
      </c>
      <c r="C21" s="110" t="s">
        <v>557</v>
      </c>
      <c r="D21" s="110" t="s">
        <v>558</v>
      </c>
      <c r="E21" s="110" t="s">
        <v>559</v>
      </c>
      <c r="F21" s="110" t="s">
        <v>560</v>
      </c>
      <c r="G21" s="110" t="s">
        <v>561</v>
      </c>
      <c r="H21" s="110" t="s">
        <v>562</v>
      </c>
      <c r="I21" s="431" t="s">
        <v>563</v>
      </c>
    </row>
    <row r="22" spans="1:9" x14ac:dyDescent="0.25">
      <c r="A22" s="435" t="s">
        <v>38</v>
      </c>
      <c r="B22" s="436" t="str">
        <f>'kuni 2025 detsember tegevuskava'!B28&amp;"%"</f>
        <v>21%</v>
      </c>
      <c r="C22" s="436" t="str">
        <f>'kuni 2025 detsember tegevuskava'!C28&amp;"%"</f>
        <v>40%</v>
      </c>
      <c r="D22" s="436" t="str">
        <f>'kuni 2025 detsember tegevuskava'!D28&amp;"%"</f>
        <v>40%</v>
      </c>
      <c r="E22" s="436" t="str">
        <f>'kuni 2025 detsember tegevuskava'!E28&amp;"%"</f>
        <v>60%</v>
      </c>
      <c r="F22" s="436" t="str">
        <f>'kuni 2025 detsember tegevuskava'!F28&amp;"%"</f>
        <v>70%</v>
      </c>
      <c r="G22" s="436" t="str">
        <f>'kuni 2025 detsember tegevuskava'!G28&amp;"%"</f>
        <v>80%</v>
      </c>
      <c r="H22" s="436" t="str">
        <f>'kuni 2025 detsember tegevuskava'!H28&amp;"%"</f>
        <v>90%</v>
      </c>
      <c r="I22" s="437" t="str">
        <f>'kuni 2025 detsember tegevuskava'!I28&amp;"%"</f>
        <v>90%</v>
      </c>
    </row>
    <row r="25" spans="1:9" x14ac:dyDescent="0.25">
      <c r="A25" s="54"/>
    </row>
    <row r="26" spans="1:9" x14ac:dyDescent="0.25">
      <c r="A26" s="54"/>
    </row>
  </sheetData>
  <sheetProtection algorithmName="SHA-512" hashValue="B25MAvWiiMaZkQ7L8xyYQKIyUPx2iDYq9lLYlx4zlVnT3JVYnuNC9Dr9EYMLqtRiekF4pns+vdm3aLnhxqCCkA==" saltValue="f4qd6tUpvq0H2Uaza8mv9Q=="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228"/>
  <sheetViews>
    <sheetView tabSelected="1" topLeftCell="A217" zoomScaleNormal="100" workbookViewId="0">
      <selection activeCell="L236" sqref="L236"/>
    </sheetView>
  </sheetViews>
  <sheetFormatPr defaultColWidth="8.7109375" defaultRowHeight="15" x14ac:dyDescent="0.25"/>
  <cols>
    <col min="1" max="1" width="2.7109375" style="1" customWidth="1"/>
    <col min="2" max="2" width="18.85546875" style="1" customWidth="1"/>
    <col min="3" max="3" width="42.7109375" style="1" customWidth="1"/>
    <col min="4" max="4" width="27.140625" style="1" customWidth="1"/>
    <col min="5" max="5" width="32.85546875" style="1" customWidth="1"/>
    <col min="6" max="6" width="11.140625" style="1" customWidth="1"/>
    <col min="7" max="7" width="2" style="1" customWidth="1"/>
    <col min="8" max="8" width="2.5703125" style="1" customWidth="1"/>
    <col min="9" max="9" width="11.42578125" style="1" customWidth="1"/>
    <col min="10" max="10" width="6.42578125" style="1" customWidth="1"/>
    <col min="11" max="11" width="12.5703125" style="1" customWidth="1"/>
    <col min="12" max="12" width="5.140625" style="1" customWidth="1"/>
    <col min="13" max="13" width="12.85546875" style="1" customWidth="1"/>
    <col min="14" max="14" width="5.140625" style="1" customWidth="1"/>
    <col min="15" max="15" width="13.28515625" style="1" customWidth="1"/>
    <col min="16" max="16" width="4.42578125" style="1" customWidth="1"/>
    <col min="17" max="17" width="10.5703125" style="1" customWidth="1"/>
    <col min="18" max="19" width="10.85546875" style="1" customWidth="1"/>
    <col min="20" max="20" width="10.5703125" style="1" customWidth="1"/>
    <col min="21" max="16384" width="8.7109375" style="1"/>
  </cols>
  <sheetData>
    <row r="2" spans="2:27" ht="30.95" customHeight="1" x14ac:dyDescent="0.25">
      <c r="B2" s="665" t="s">
        <v>672</v>
      </c>
      <c r="C2" s="665"/>
      <c r="D2" s="665"/>
      <c r="E2" s="665"/>
      <c r="F2" s="665"/>
      <c r="G2" s="665"/>
      <c r="H2" s="665"/>
      <c r="I2" s="665"/>
      <c r="J2" s="665"/>
      <c r="K2" s="665"/>
      <c r="L2" s="665"/>
      <c r="M2" s="665"/>
      <c r="N2" s="665"/>
      <c r="O2" s="665"/>
      <c r="P2" s="665"/>
    </row>
    <row r="4" spans="2:27" x14ac:dyDescent="0.25">
      <c r="B4" s="55" t="s">
        <v>564</v>
      </c>
    </row>
    <row r="6" spans="2:27" x14ac:dyDescent="0.25">
      <c r="B6" s="34" t="s">
        <v>565</v>
      </c>
    </row>
    <row r="7" spans="2:27" ht="49.5" customHeight="1" x14ac:dyDescent="0.25">
      <c r="B7" s="675" t="s">
        <v>566</v>
      </c>
      <c r="C7" s="676"/>
      <c r="D7" s="676"/>
      <c r="E7" s="676"/>
      <c r="F7" s="676"/>
      <c r="G7" s="676"/>
      <c r="H7" s="676"/>
      <c r="I7" s="676"/>
      <c r="J7" s="676"/>
      <c r="K7" s="676"/>
      <c r="L7" s="676"/>
      <c r="M7" s="676"/>
      <c r="N7" s="676"/>
      <c r="O7" s="676"/>
      <c r="P7" s="677"/>
      <c r="Q7" s="39"/>
      <c r="R7" s="39"/>
      <c r="S7" s="39"/>
      <c r="T7" s="39"/>
      <c r="U7" s="39"/>
    </row>
    <row r="9" spans="2:27" x14ac:dyDescent="0.25">
      <c r="B9" s="34" t="s">
        <v>567</v>
      </c>
    </row>
    <row r="10" spans="2:27" ht="13.5" customHeight="1" x14ac:dyDescent="0.25">
      <c r="B10" s="675"/>
      <c r="C10" s="676"/>
      <c r="D10" s="676"/>
      <c r="E10" s="676"/>
      <c r="F10" s="676"/>
      <c r="G10" s="676"/>
      <c r="H10" s="676"/>
      <c r="I10" s="676"/>
      <c r="J10" s="676"/>
      <c r="K10" s="676"/>
      <c r="L10" s="676"/>
      <c r="M10" s="676"/>
      <c r="N10" s="676"/>
      <c r="O10" s="676"/>
      <c r="P10" s="677"/>
      <c r="Q10" s="39"/>
      <c r="R10" s="39"/>
      <c r="S10" s="39"/>
      <c r="T10" s="39"/>
      <c r="U10" s="39"/>
    </row>
    <row r="12" spans="2:27" ht="15.75" thickBot="1" x14ac:dyDescent="0.3">
      <c r="B12" s="348" t="s">
        <v>568</v>
      </c>
      <c r="C12" s="161"/>
      <c r="D12" s="161"/>
      <c r="E12" s="161"/>
      <c r="F12" s="161"/>
      <c r="G12" s="77"/>
      <c r="H12" s="77"/>
      <c r="I12" s="77"/>
      <c r="J12" s="77"/>
      <c r="K12" s="190"/>
      <c r="L12" s="77"/>
      <c r="M12" s="77"/>
      <c r="N12" s="77"/>
      <c r="O12" s="77"/>
    </row>
    <row r="13" spans="2:27" ht="15.75" thickBot="1" x14ac:dyDescent="0.3">
      <c r="B13" s="349"/>
      <c r="C13" s="350" t="s">
        <v>569</v>
      </c>
      <c r="D13" s="351" t="s">
        <v>570</v>
      </c>
      <c r="E13" s="352" t="s">
        <v>571</v>
      </c>
      <c r="F13" s="353">
        <v>2025</v>
      </c>
      <c r="G13" s="77"/>
      <c r="H13" s="77"/>
      <c r="I13" s="77"/>
      <c r="J13" s="77"/>
      <c r="K13" s="341"/>
      <c r="L13" s="342"/>
      <c r="M13" s="342"/>
      <c r="N13" s="342"/>
      <c r="O13" s="190"/>
    </row>
    <row r="14" spans="2:27" ht="15.75" thickBot="1" x14ac:dyDescent="0.3">
      <c r="B14" s="354" t="s">
        <v>569</v>
      </c>
      <c r="C14" s="355">
        <f>SUM(D14:F14)</f>
        <v>11014024.399999999</v>
      </c>
      <c r="D14" s="356">
        <f>SUM(D15:D17)</f>
        <v>979339.8</v>
      </c>
      <c r="E14" s="357">
        <f t="shared" ref="E14:F14" si="0">SUM(E15:E17)</f>
        <v>6725899.7999999998</v>
      </c>
      <c r="F14" s="358">
        <f t="shared" si="0"/>
        <v>3308784.8</v>
      </c>
      <c r="G14" s="77"/>
      <c r="H14" s="77"/>
      <c r="I14" s="77"/>
      <c r="J14" s="77"/>
      <c r="K14" s="343"/>
      <c r="L14" s="344"/>
      <c r="M14" s="345"/>
      <c r="N14" s="345"/>
      <c r="O14" s="345"/>
    </row>
    <row r="15" spans="2:27" ht="33.6" customHeight="1" x14ac:dyDescent="0.25">
      <c r="B15" s="359" t="s">
        <v>572</v>
      </c>
      <c r="C15" s="360">
        <f t="shared" ref="C15:C17" si="1">SUM(D15:F15)</f>
        <v>3188441.4000000004</v>
      </c>
      <c r="D15" s="361" cm="1">
        <f t="array" ref="D15">SUM('kuni 2025 detsember tegevuskava'!X112:Z112+'kuni 2025 detsember tegevuskava'!X115:Z115+'kuni 2025 detsember tegevuskava'!X118:Z118+'kuni 2025 detsember tegevuskava'!X121:Z121)</f>
        <v>724439.8</v>
      </c>
      <c r="E15" s="362" cm="1">
        <f t="array" ref="E15">SUM('kuni 2025 detsember tegevuskava'!AA112:AC112+'kuni 2025 detsember tegevuskava'!AA115:AC115+'kuni 2025 detsember tegevuskava'!AA118:AC118+'kuni 2025 detsember tegevuskava'!AA121:AC121)</f>
        <v>1379836.8</v>
      </c>
      <c r="F15" s="363" cm="1">
        <f t="array" ref="F15">SUM('kuni 2025 detsember tegevuskava'!AD112:AF112+'kuni 2025 detsember tegevuskava'!AD115:AF115+'kuni 2025 detsember tegevuskava'!AD118:AF118+'kuni 2025 detsember tegevuskava'!AD121:AF121)</f>
        <v>1084164.8</v>
      </c>
      <c r="G15" s="77"/>
      <c r="H15" s="77"/>
      <c r="I15" s="77"/>
      <c r="J15" s="77"/>
      <c r="K15" s="343"/>
      <c r="L15" s="344"/>
      <c r="M15" s="346"/>
      <c r="N15" s="346"/>
      <c r="O15" s="347"/>
      <c r="Q15" s="665"/>
      <c r="R15" s="665"/>
      <c r="S15" s="665"/>
      <c r="T15" s="665"/>
      <c r="U15" s="665"/>
      <c r="V15" s="665"/>
      <c r="W15" s="665"/>
      <c r="X15" s="665"/>
      <c r="Y15" s="665"/>
      <c r="Z15" s="665"/>
      <c r="AA15" s="665"/>
    </row>
    <row r="16" spans="2:27" ht="36" customHeight="1" x14ac:dyDescent="0.25">
      <c r="B16" s="364" t="s">
        <v>573</v>
      </c>
      <c r="C16" s="365">
        <f t="shared" si="1"/>
        <v>7825583</v>
      </c>
      <c r="D16" s="366" cm="1">
        <f t="array" ref="D16">SUM('kuni 2025 detsember tegevuskava'!X97:Z97+'kuni 2025 detsember tegevuskava'!X100:Z100+'kuni 2025 detsember tegevuskava'!X103:Z103+'kuni 2025 detsember tegevuskava'!X106:Z106)</f>
        <v>254900</v>
      </c>
      <c r="E16" s="367" cm="1">
        <f t="array" ref="E16">SUM('kuni 2025 detsember tegevuskava'!AA97:AC97+'kuni 2025 detsember tegevuskava'!AA100:AC100+'kuni 2025 detsember tegevuskava'!AA103:AC103+'kuni 2025 detsember tegevuskava'!AA106:AC106)</f>
        <v>5346063</v>
      </c>
      <c r="F16" s="368" cm="1">
        <f t="array" ref="F16">SUM('kuni 2025 detsember tegevuskava'!AD97:AF97+'kuni 2025 detsember tegevuskava'!AD100:AF100+'kuni 2025 detsember tegevuskava'!AD103:AF103+'kuni 2025 detsember tegevuskava'!AD106:AF106)</f>
        <v>2224620</v>
      </c>
      <c r="G16" s="77"/>
      <c r="H16" s="77"/>
      <c r="I16" s="77"/>
      <c r="J16" s="77"/>
      <c r="K16" s="343"/>
      <c r="L16" s="344"/>
      <c r="M16" s="346"/>
      <c r="N16" s="346"/>
      <c r="O16" s="347"/>
      <c r="Q16" s="665"/>
      <c r="R16" s="665"/>
      <c r="S16" s="665"/>
      <c r="T16" s="665"/>
      <c r="U16" s="665"/>
      <c r="V16" s="665"/>
      <c r="W16" s="665"/>
      <c r="X16" s="665"/>
      <c r="Y16" s="665"/>
      <c r="Z16" s="665"/>
      <c r="AA16" s="665"/>
    </row>
    <row r="17" spans="2:27" ht="35.1" customHeight="1" thickBot="1" x14ac:dyDescent="0.3">
      <c r="B17" s="369" t="s">
        <v>574</v>
      </c>
      <c r="C17" s="370">
        <f t="shared" si="1"/>
        <v>0</v>
      </c>
      <c r="D17" s="371" cm="1">
        <f t="array" ref="D17">SUM('kuni 2025 detsember tegevuskava'!X127:Z127+'kuni 2025 detsember tegevuskava'!X130:Z130+'kuni 2025 detsember tegevuskava'!X133:Z133+'kuni 2025 detsember tegevuskava'!X136:Z136)</f>
        <v>0</v>
      </c>
      <c r="E17" s="372" cm="1">
        <f t="array" ref="E17">SUM('kuni 2025 detsember tegevuskava'!AA127:AC127+'kuni 2025 detsember tegevuskava'!AA130:AC130+'kuni 2025 detsember tegevuskava'!AA133:AC133+'kuni 2025 detsember tegevuskava'!AA136:AC136)</f>
        <v>0</v>
      </c>
      <c r="F17" s="373" cm="1">
        <f t="array" ref="F17">SUM('kuni 2025 detsember tegevuskava'!AD127:AF127+'kuni 2025 detsember tegevuskava'!AD130:AF130+'kuni 2025 detsember tegevuskava'!AD133:AF133+'kuni 2025 detsember tegevuskava'!AD136:AF136)</f>
        <v>0</v>
      </c>
      <c r="G17" s="77"/>
      <c r="H17" s="77"/>
      <c r="I17" s="77"/>
      <c r="J17" s="77"/>
      <c r="K17" s="343"/>
      <c r="L17" s="344"/>
      <c r="M17" s="346"/>
      <c r="N17" s="346"/>
      <c r="O17" s="347"/>
      <c r="Q17" s="665"/>
      <c r="R17" s="665"/>
      <c r="S17" s="665"/>
      <c r="T17" s="665"/>
      <c r="U17" s="665"/>
      <c r="V17" s="665"/>
      <c r="W17" s="665"/>
      <c r="X17" s="665"/>
      <c r="Y17" s="665"/>
      <c r="Z17" s="665"/>
      <c r="AA17" s="665"/>
    </row>
    <row r="18" spans="2:27" x14ac:dyDescent="0.25">
      <c r="B18" s="161"/>
      <c r="C18" s="161"/>
      <c r="D18" s="161"/>
      <c r="E18" s="161"/>
      <c r="F18" s="161"/>
      <c r="G18" s="77"/>
      <c r="H18" s="77"/>
      <c r="I18" s="77"/>
      <c r="J18" s="77"/>
      <c r="K18" s="77"/>
      <c r="L18" s="77"/>
      <c r="M18" s="77"/>
      <c r="N18" s="77"/>
      <c r="O18" s="77"/>
    </row>
    <row r="19" spans="2:27" x14ac:dyDescent="0.25">
      <c r="B19" s="161"/>
      <c r="C19" s="161"/>
      <c r="D19" s="161"/>
      <c r="E19" s="161"/>
      <c r="F19" s="161"/>
      <c r="G19" s="77"/>
      <c r="H19" s="77"/>
      <c r="I19" s="77"/>
      <c r="J19" s="77"/>
      <c r="K19" s="77"/>
      <c r="L19" s="77"/>
      <c r="M19" s="77"/>
      <c r="N19" s="77"/>
      <c r="O19" s="77"/>
    </row>
    <row r="20" spans="2:27" ht="15.75" thickBot="1" x14ac:dyDescent="0.3">
      <c r="B20" s="348" t="s">
        <v>575</v>
      </c>
      <c r="C20" s="161"/>
      <c r="D20" s="161"/>
      <c r="E20" s="161"/>
      <c r="F20" s="161"/>
      <c r="G20" s="77"/>
      <c r="H20" s="77"/>
      <c r="I20" s="77"/>
      <c r="J20" s="77"/>
      <c r="K20" s="77"/>
      <c r="L20" s="77"/>
      <c r="M20" s="77"/>
      <c r="N20" s="77"/>
      <c r="O20" s="77"/>
    </row>
    <row r="21" spans="2:27" ht="15.75" thickBot="1" x14ac:dyDescent="0.3">
      <c r="B21" s="349"/>
      <c r="C21" s="374" t="s">
        <v>569</v>
      </c>
      <c r="D21" s="350" t="s">
        <v>570</v>
      </c>
      <c r="E21" s="375" t="s">
        <v>571</v>
      </c>
      <c r="F21" s="350" t="s">
        <v>576</v>
      </c>
      <c r="G21" s="77"/>
      <c r="H21" s="77"/>
      <c r="I21" s="77"/>
      <c r="J21" s="77"/>
      <c r="K21" s="77"/>
      <c r="L21" s="77"/>
      <c r="M21" s="77"/>
      <c r="N21" s="77"/>
      <c r="O21" s="77"/>
    </row>
    <row r="22" spans="2:27" ht="15.75" thickBot="1" x14ac:dyDescent="0.3">
      <c r="B22" s="376" t="s">
        <v>573</v>
      </c>
      <c r="C22" s="377">
        <f>SUM(D22:F22)</f>
        <v>9406339.2599999998</v>
      </c>
      <c r="D22" s="378">
        <f>SUM(D23:D26)</f>
        <v>288180</v>
      </c>
      <c r="E22" s="379">
        <f t="shared" ref="E22:F22" si="2">SUM(E23:E26)</f>
        <v>6472509.8599999994</v>
      </c>
      <c r="F22" s="380">
        <f t="shared" si="2"/>
        <v>2645649.4</v>
      </c>
      <c r="G22" s="77"/>
      <c r="H22" s="77"/>
      <c r="I22" s="77"/>
      <c r="J22" s="77"/>
      <c r="K22" s="77"/>
      <c r="L22" s="77"/>
      <c r="M22" s="77"/>
      <c r="N22" s="77"/>
      <c r="O22" s="77"/>
    </row>
    <row r="23" spans="2:27" ht="48" x14ac:dyDescent="0.25">
      <c r="B23" s="381" t="s">
        <v>7</v>
      </c>
      <c r="C23" s="382">
        <f>SUM(D23:F23)</f>
        <v>4071459.4</v>
      </c>
      <c r="D23" s="383">
        <f>SUM('kuni 2025 detsember tegevuskava'!X98:Z98)</f>
        <v>88500</v>
      </c>
      <c r="E23" s="384">
        <f>SUM('kuni 2025 detsember tegevuskava'!AA98:AC98)</f>
        <v>2699050</v>
      </c>
      <c r="F23" s="385">
        <f>SUM('kuni 2025 detsember tegevuskava'!AD98:AF98)</f>
        <v>1283909.3999999999</v>
      </c>
      <c r="G23" s="77"/>
      <c r="H23" s="77"/>
      <c r="I23" s="77"/>
      <c r="J23" s="77"/>
      <c r="K23" s="77"/>
      <c r="L23" s="77"/>
      <c r="M23" s="77"/>
      <c r="N23" s="77"/>
      <c r="O23" s="77"/>
    </row>
    <row r="24" spans="2:27" ht="72" x14ac:dyDescent="0.25">
      <c r="B24" s="381" t="s">
        <v>552</v>
      </c>
      <c r="C24" s="386">
        <f t="shared" ref="C24:C26" si="3">SUM(D24:F24)</f>
        <v>0</v>
      </c>
      <c r="D24" s="387">
        <f>SUM('kuni 2025 detsember tegevuskava'!X101:Z101)</f>
        <v>0</v>
      </c>
      <c r="E24" s="388">
        <f>SUM('kuni 2025 detsember tegevuskava'!AA101:AC101)</f>
        <v>0</v>
      </c>
      <c r="F24" s="389">
        <f>SUM('kuni 2025 detsember tegevuskava'!AD101:AF101)</f>
        <v>0</v>
      </c>
      <c r="G24" s="77"/>
      <c r="H24" s="77"/>
      <c r="I24" s="77"/>
      <c r="J24" s="77"/>
      <c r="K24" s="77"/>
      <c r="L24" s="77"/>
      <c r="M24" s="77"/>
      <c r="N24" s="77"/>
      <c r="O24" s="77"/>
    </row>
    <row r="25" spans="2:27" ht="108" x14ac:dyDescent="0.25">
      <c r="B25" s="381" t="s">
        <v>553</v>
      </c>
      <c r="C25" s="386">
        <f t="shared" si="3"/>
        <v>0</v>
      </c>
      <c r="D25" s="387">
        <f>SUM('kuni 2025 detsember tegevuskava'!X104:Z104)</f>
        <v>0</v>
      </c>
      <c r="E25" s="388">
        <f>SUM('kuni 2025 detsember tegevuskava'!AA104:AC104)</f>
        <v>0</v>
      </c>
      <c r="F25" s="389">
        <f>SUM('kuni 2025 detsember tegevuskava'!AD104:AF104)</f>
        <v>0</v>
      </c>
      <c r="G25" s="77"/>
      <c r="H25" s="77"/>
      <c r="I25" s="77"/>
      <c r="J25" s="77"/>
      <c r="K25" s="77"/>
      <c r="L25" s="77"/>
      <c r="M25" s="77"/>
      <c r="N25" s="77"/>
      <c r="O25" s="77"/>
    </row>
    <row r="26" spans="2:27" ht="72.75" thickBot="1" x14ac:dyDescent="0.3">
      <c r="B26" s="390" t="s">
        <v>554</v>
      </c>
      <c r="C26" s="391">
        <f t="shared" si="3"/>
        <v>5334879.8599999994</v>
      </c>
      <c r="D26" s="392">
        <f>SUM('kuni 2025 detsember tegevuskava'!X107:Z107)</f>
        <v>199680</v>
      </c>
      <c r="E26" s="393">
        <f>SUM('kuni 2025 detsember tegevuskava'!AA107:AC107)</f>
        <v>3773459.86</v>
      </c>
      <c r="F26" s="394">
        <f>SUM('kuni 2025 detsember tegevuskava'!AD107:AF107)</f>
        <v>1361740</v>
      </c>
      <c r="G26" s="77"/>
      <c r="H26" s="77"/>
      <c r="I26" s="77"/>
      <c r="J26" s="77"/>
      <c r="K26" s="77"/>
      <c r="L26" s="77"/>
      <c r="M26" s="77"/>
      <c r="N26" s="77"/>
      <c r="O26" s="77"/>
    </row>
    <row r="28" spans="2:27" ht="15.75" thickBot="1" x14ac:dyDescent="0.3"/>
    <row r="29" spans="2:27" ht="30.6" customHeight="1" x14ac:dyDescent="0.25">
      <c r="B29" s="678" t="s">
        <v>577</v>
      </c>
      <c r="C29" s="680" t="s">
        <v>60</v>
      </c>
      <c r="D29" s="680" t="s">
        <v>61</v>
      </c>
      <c r="E29" s="162" t="s">
        <v>62</v>
      </c>
      <c r="F29" s="682" t="s">
        <v>578</v>
      </c>
      <c r="G29" s="683"/>
      <c r="H29" s="684"/>
      <c r="I29" s="666" t="s">
        <v>68</v>
      </c>
      <c r="J29" s="667"/>
      <c r="K29" s="666" t="s">
        <v>579</v>
      </c>
      <c r="L29" s="667"/>
      <c r="M29" s="666" t="s">
        <v>580</v>
      </c>
      <c r="N29" s="667"/>
      <c r="O29" s="666" t="s">
        <v>581</v>
      </c>
      <c r="P29" s="670"/>
    </row>
    <row r="30" spans="2:27" ht="15.75" thickBot="1" x14ac:dyDescent="0.3">
      <c r="B30" s="679"/>
      <c r="C30" s="681"/>
      <c r="D30" s="681"/>
      <c r="E30" s="56"/>
      <c r="F30" s="603"/>
      <c r="G30" s="603"/>
      <c r="H30" s="685"/>
      <c r="I30" s="668" t="s">
        <v>582</v>
      </c>
      <c r="J30" s="669"/>
      <c r="K30" s="668" t="s">
        <v>582</v>
      </c>
      <c r="L30" s="669"/>
      <c r="M30" s="668" t="s">
        <v>582</v>
      </c>
      <c r="N30" s="669"/>
      <c r="O30" s="668" t="s">
        <v>582</v>
      </c>
      <c r="P30" s="671"/>
    </row>
    <row r="31" spans="2:27" ht="17.100000000000001" customHeight="1" x14ac:dyDescent="0.25">
      <c r="B31" s="135" t="s">
        <v>583</v>
      </c>
      <c r="C31" s="136"/>
      <c r="D31" s="136"/>
      <c r="E31" s="136"/>
      <c r="F31" s="137"/>
      <c r="G31" s="138"/>
      <c r="H31" s="138"/>
      <c r="I31" s="584">
        <f>SUM(I32:I34)</f>
        <v>11133024.4</v>
      </c>
      <c r="J31" s="585"/>
      <c r="K31" s="586">
        <f>SUM(K32:K34)</f>
        <v>823339.8</v>
      </c>
      <c r="L31" s="589"/>
      <c r="M31" s="586">
        <f>SUM(M32:M34)</f>
        <v>7000899.7999999998</v>
      </c>
      <c r="N31" s="585"/>
      <c r="O31" s="586">
        <f>SUM(O32:O34)</f>
        <v>3308784.8</v>
      </c>
      <c r="P31" s="587"/>
    </row>
    <row r="32" spans="2:27" ht="17.45" customHeight="1" x14ac:dyDescent="0.25">
      <c r="B32" s="139"/>
      <c r="C32" s="8"/>
      <c r="D32" s="8"/>
      <c r="E32" s="8"/>
      <c r="F32" s="127"/>
      <c r="G32" s="8"/>
      <c r="H32" s="8"/>
      <c r="I32" s="588">
        <f>SUM(I36+I50+I60+I70+I80+I90+I219+I117+I139+I169+I174+I179+I184+I189+I194+I209)</f>
        <v>5965983</v>
      </c>
      <c r="J32" s="582" t="str">
        <f>"(15)"</f>
        <v>(15)</v>
      </c>
      <c r="K32" s="59">
        <f>SUM(K36+K50+K60+K70+K80+K90+K117+K139+K169+K174+K179+K184+K189+K194+K209+K219)</f>
        <v>0</v>
      </c>
      <c r="L32" s="582" t="str">
        <f>"(15)"</f>
        <v>(15)</v>
      </c>
      <c r="M32" s="59">
        <f>SUM(M36+M50+M60+M70+M80+M90+M117+M139+M169+M174+M179+M184+M189+M194+M209+M219)</f>
        <v>4604013</v>
      </c>
      <c r="N32" s="582" t="str">
        <f>"(15)"</f>
        <v>(15)</v>
      </c>
      <c r="O32" s="59">
        <f>SUM(O36+O50+O60+O70+O80+O90+O117+O139+O169+O174+O179+O184+O189+O194+O209+O219)</f>
        <v>1361970</v>
      </c>
      <c r="P32" s="67" t="str">
        <f>"(15)"</f>
        <v>(15)</v>
      </c>
      <c r="Q32" s="225"/>
    </row>
    <row r="33" spans="2:17" ht="17.25" x14ac:dyDescent="0.25">
      <c r="B33" s="128"/>
      <c r="C33" s="8"/>
      <c r="D33" s="8"/>
      <c r="E33" s="8"/>
      <c r="F33" s="127"/>
      <c r="G33" s="8"/>
      <c r="H33" s="577"/>
      <c r="I33" s="588">
        <f>SUM(I37+I95+I122+I129+I144+I149+I164+I199+I204)</f>
        <v>808572</v>
      </c>
      <c r="J33" s="582" t="str">
        <f>"(50)"</f>
        <v>(50)</v>
      </c>
      <c r="K33" s="59">
        <f>SUM(K37+K95+K122+K129+K144+K149+K164+K199+K204)</f>
        <v>201172</v>
      </c>
      <c r="L33" s="582" t="str">
        <f>"(50)"</f>
        <v>(50)</v>
      </c>
      <c r="M33" s="59">
        <f>SUM(M37+M95+M122+M129+M144+M149+M164+M199+M204)</f>
        <v>225850</v>
      </c>
      <c r="N33" s="582" t="str">
        <f>"(50)"</f>
        <v>(50)</v>
      </c>
      <c r="O33" s="59">
        <f>SUM(O37+O95+O122+O129+O144+O149+O164+O199+O204)</f>
        <v>381550</v>
      </c>
      <c r="P33" s="67" t="str">
        <f>"(50)"</f>
        <v>(50)</v>
      </c>
      <c r="Q33" s="225"/>
    </row>
    <row r="34" spans="2:17" ht="18" thickBot="1" x14ac:dyDescent="0.3">
      <c r="B34" s="128"/>
      <c r="C34" s="8"/>
      <c r="D34" s="8"/>
      <c r="E34" s="8"/>
      <c r="F34" s="127"/>
      <c r="G34" s="8"/>
      <c r="H34" s="577"/>
      <c r="I34" s="588">
        <f>SUM(I38+I45+I55+I65+I75+I85+I96+I102+I107+I112+I123+I134+I159+I154+I214)</f>
        <v>4358469.4000000004</v>
      </c>
      <c r="J34" s="582" t="str">
        <f>"(55)"</f>
        <v>(55)</v>
      </c>
      <c r="K34" s="59">
        <f>SUM(K38+K45+K55+K65+K75+K85+K96+K102+K107+K112+K123+K134+K154+K159+K164+K214)</f>
        <v>622167.80000000005</v>
      </c>
      <c r="L34" s="582" t="str">
        <f>"(55)"</f>
        <v>(55)</v>
      </c>
      <c r="M34" s="59">
        <f>SUM(M38+M45+M55+M65+M75+M85+M96+M102+M107+M112+M123+M134+M154+M159+M214)</f>
        <v>2171036.7999999998</v>
      </c>
      <c r="N34" s="582" t="str">
        <f>"(55)"</f>
        <v>(55)</v>
      </c>
      <c r="O34" s="59">
        <f>SUM(O38+O45+O55+O65+O75+O85+O96+O102+O107+O112+O123+O134+O154+O159+O214)</f>
        <v>1565264.8</v>
      </c>
      <c r="P34" s="67" t="str">
        <f>"(55)"</f>
        <v>(55)</v>
      </c>
      <c r="Q34" s="225"/>
    </row>
    <row r="35" spans="2:17" ht="14.45" customHeight="1" x14ac:dyDescent="0.25">
      <c r="B35" s="659" t="str">
        <f>'kuni 2025 detsember tegevuskava'!A35&amp;"/"&amp;'kuni 2025 detsember tegevuskava'!C35</f>
        <v>KuM/Majandus- ja Kommunkatsiooniministeerium</v>
      </c>
      <c r="C35" s="655" t="str">
        <f>'kuni 2025 detsember tegevuskava'!I35</f>
        <v>Uussisserändajad ei ole teadlikud oma kohustustest ega õigustest</v>
      </c>
      <c r="D35" s="655" t="str">
        <f>'kuni 2025 detsember tegevuskava'!J35</f>
        <v>Sündmusteenus "Eestis kohanemine" arendus - planeerimise etapp</v>
      </c>
      <c r="E35" s="655" t="str">
        <f>'kuni 2025 detsember tegevuskava'!K35</f>
        <v xml:space="preserve">Uussisserändajate kohanemiseks vajalikud osateenused on toodud kokku üheks tervikuks ning uussisserändajad on teadlikud, kuidas ja millal neile suunatuid teenused kasutada; 2023. aastal I etapp lives,  2024 II etapp - kaardistada ja resurssid planeerida, et tuua sisse proaktiivsust ja personaliseeritust ja proaktiivsust. </v>
      </c>
      <c r="F35" s="655" t="str">
        <f>'kuni 2025 detsember tegevuskava'!P35&amp;"/"</f>
        <v>RRF/</v>
      </c>
      <c r="G35" s="138" cm="1">
        <f t="array" ref="G35">_xlfn.IFS('kuni 2025 detsember tegevuskava'!G35='kuni 2025 detsember tegevuskava'!$G$97,1,'kuni 2025 detsember tegevuskava'!G35='kuni 2025 detsember tegevuskava'!$G$98,2,'kuni 2025 detsember tegevuskava'!G35='kuni 2025 detsember tegevuskava'!$G$99,3,'kuni 2025 detsember tegevuskava'!G35='kuni 2025 detsember tegevuskava'!$G$100,4)</f>
        <v>1</v>
      </c>
      <c r="H35" s="591" cm="1">
        <f t="array" ref="H35">_xlfn.IFS(OR('kuni 2025 detsember tegevuskava'!P35='kuni 2025 detsember tegevuskava'!$P$97,'kuni 2025 detsember tegevuskava'!P35='kuni 2025 detsember tegevuskava'!$P$99,'kuni 2025 detsember tegevuskava'!P35='kuni 2025 detsember tegevuskava'!$P$100,'kuni 2025 detsember tegevuskava'!P35='kuni 2025 detsember tegevuskava'!$P$101),1,'kuni 2025 detsember tegevuskava'!P35='kuni 2025 detsember tegevuskava'!$P$102,2,'kuni 2025 detsember tegevuskava'!P35='kuni 2025 detsember tegevuskava'!$P$103,2,'kuni 2025 detsember tegevuskava'!P35='kuni 2025 detsember tegevuskava'!$P$98,3)</f>
        <v>1</v>
      </c>
      <c r="I35" s="126">
        <f>SUM(I36:I38)</f>
        <v>75803</v>
      </c>
      <c r="J35" s="143"/>
      <c r="K35" s="62">
        <f>SUM(K36:K38)</f>
        <v>14803</v>
      </c>
      <c r="L35" s="144"/>
      <c r="M35" s="62">
        <f>SUM(M36:M38)</f>
        <v>61000</v>
      </c>
      <c r="N35" s="65"/>
      <c r="O35" s="62">
        <f>SUM(O36:O38)</f>
        <v>0</v>
      </c>
      <c r="P35" s="66"/>
    </row>
    <row r="36" spans="2:17" ht="17.25" x14ac:dyDescent="0.25">
      <c r="B36" s="660"/>
      <c r="C36" s="656"/>
      <c r="D36" s="656"/>
      <c r="E36" s="656"/>
      <c r="F36" s="656"/>
      <c r="G36" s="8"/>
      <c r="H36" s="590"/>
      <c r="I36" s="124">
        <f>SUM(K36+M36+O36)</f>
        <v>55000</v>
      </c>
      <c r="J36" s="582" t="str">
        <f>"(15)"</f>
        <v>(15)</v>
      </c>
      <c r="K36" s="59">
        <f>'kuni 2025 detsember tegevuskava'!X35</f>
        <v>0</v>
      </c>
      <c r="L36" s="582" t="str">
        <f>"(15)"</f>
        <v>(15)</v>
      </c>
      <c r="M36" s="59">
        <f>'kuni 2025 detsember tegevuskava'!AA35</f>
        <v>55000</v>
      </c>
      <c r="N36" s="582" t="str">
        <f>"(15)"</f>
        <v>(15)</v>
      </c>
      <c r="O36" s="59">
        <f>'kuni 2025 detsember tegevuskava'!AD35</f>
        <v>0</v>
      </c>
      <c r="P36" s="67" t="str">
        <f>"(15)"</f>
        <v>(15)</v>
      </c>
    </row>
    <row r="37" spans="2:17" ht="17.25" x14ac:dyDescent="0.25">
      <c r="B37" s="660"/>
      <c r="C37" s="656"/>
      <c r="D37" s="656"/>
      <c r="E37" s="656"/>
      <c r="F37" s="656"/>
      <c r="G37" s="8"/>
      <c r="H37" s="590"/>
      <c r="I37" s="124">
        <f t="shared" ref="I37" si="4">SUM(K37+M37+O37)</f>
        <v>12672</v>
      </c>
      <c r="J37" s="582" t="str">
        <f>"(50)"</f>
        <v>(50)</v>
      </c>
      <c r="K37" s="59">
        <f>'kuni 2025 detsember tegevuskava'!Y35</f>
        <v>12672</v>
      </c>
      <c r="L37" s="582" t="str">
        <f>"(50)"</f>
        <v>(50)</v>
      </c>
      <c r="M37" s="59">
        <f>'kuni 2025 detsember tegevuskava'!AB35</f>
        <v>0</v>
      </c>
      <c r="N37" s="582" t="str">
        <f>"(50)"</f>
        <v>(50)</v>
      </c>
      <c r="O37" s="59">
        <f>'kuni 2025 detsember tegevuskava'!AE35</f>
        <v>0</v>
      </c>
      <c r="P37" s="67" t="str">
        <f>"(50)"</f>
        <v>(50)</v>
      </c>
    </row>
    <row r="38" spans="2:17" ht="17.25" x14ac:dyDescent="0.25">
      <c r="B38" s="660"/>
      <c r="C38" s="656"/>
      <c r="D38" s="656"/>
      <c r="E38" s="656"/>
      <c r="F38" s="656"/>
      <c r="G38" s="8"/>
      <c r="H38" s="590"/>
      <c r="I38" s="124">
        <f>SUM(K38+M38+O38)</f>
        <v>8131</v>
      </c>
      <c r="J38" s="582" t="str">
        <f>"(55)"</f>
        <v>(55)</v>
      </c>
      <c r="K38" s="142">
        <f>'kuni 2025 detsember tegevuskava'!Z35</f>
        <v>2131</v>
      </c>
      <c r="L38" s="582" t="str">
        <f>"(55)"</f>
        <v>(55)</v>
      </c>
      <c r="M38" s="142">
        <f>'kuni 2025 detsember tegevuskava'!AC35</f>
        <v>6000</v>
      </c>
      <c r="N38" s="582" t="str">
        <f>"(55)"</f>
        <v>(55)</v>
      </c>
      <c r="O38" s="142">
        <f>'kuni 2025 detsember tegevuskava'!AF35</f>
        <v>0</v>
      </c>
      <c r="P38" s="67" t="str">
        <f>"(55)"</f>
        <v>(55)</v>
      </c>
    </row>
    <row r="39" spans="2:17" ht="17.25" x14ac:dyDescent="0.25">
      <c r="B39" s="660"/>
      <c r="C39" s="656"/>
      <c r="D39" s="656"/>
      <c r="E39" s="656"/>
      <c r="F39" s="656"/>
      <c r="G39" s="8"/>
      <c r="H39" s="590"/>
      <c r="I39" s="123" t="s">
        <v>584</v>
      </c>
      <c r="J39" s="145"/>
      <c r="K39" s="579"/>
      <c r="L39" s="95"/>
      <c r="M39" s="579"/>
      <c r="N39" s="95"/>
      <c r="O39" s="579"/>
      <c r="P39" s="147"/>
    </row>
    <row r="40" spans="2:17" ht="17.25" x14ac:dyDescent="0.25">
      <c r="B40" s="660"/>
      <c r="C40" s="656"/>
      <c r="D40" s="656"/>
      <c r="E40" s="656"/>
      <c r="F40" s="656"/>
      <c r="G40" s="8"/>
      <c r="H40" s="590"/>
      <c r="I40" s="125">
        <f>SUM(I41:I43)</f>
        <v>89649.2</v>
      </c>
      <c r="J40" s="582"/>
      <c r="K40" s="132">
        <f>SUM(K41:K43)</f>
        <v>15229.2</v>
      </c>
      <c r="L40" s="149"/>
      <c r="M40" s="129">
        <f>SUM(M41:M43)</f>
        <v>74420</v>
      </c>
      <c r="N40" s="100"/>
      <c r="O40" s="129">
        <f>SUM(O41:O43)</f>
        <v>0</v>
      </c>
      <c r="P40" s="147"/>
    </row>
    <row r="41" spans="2:17" ht="17.25" x14ac:dyDescent="0.25">
      <c r="B41" s="660"/>
      <c r="C41" s="656"/>
      <c r="D41" s="656"/>
      <c r="E41" s="656"/>
      <c r="F41" s="656"/>
      <c r="G41" s="8"/>
      <c r="H41" s="590"/>
      <c r="I41" s="124">
        <f>SUM(K41+M41+O41)</f>
        <v>67100</v>
      </c>
      <c r="J41" s="582" t="str">
        <f>"(15)"</f>
        <v>(15)</v>
      </c>
      <c r="K41" s="59">
        <f>SUM(K36*1.2)</f>
        <v>0</v>
      </c>
      <c r="L41" s="582" t="str">
        <f>"(15)"</f>
        <v>(15)</v>
      </c>
      <c r="M41" s="59">
        <f>SUM(M36*1.22)</f>
        <v>67100</v>
      </c>
      <c r="N41" s="582" t="str">
        <f>"(15)"</f>
        <v>(15)</v>
      </c>
      <c r="O41" s="59">
        <f>SUM(O36*1.22)</f>
        <v>0</v>
      </c>
      <c r="P41" s="67" t="str">
        <f>"(15)"</f>
        <v>(15)</v>
      </c>
    </row>
    <row r="42" spans="2:17" ht="17.25" x14ac:dyDescent="0.25">
      <c r="B42" s="660"/>
      <c r="C42" s="656"/>
      <c r="D42" s="656"/>
      <c r="E42" s="656"/>
      <c r="F42" s="656"/>
      <c r="G42" s="8"/>
      <c r="H42" s="590"/>
      <c r="I42" s="124">
        <f t="shared" ref="I42" si="5">SUM(K42+M42+O42)</f>
        <v>12672</v>
      </c>
      <c r="J42" s="582" t="str">
        <f>"(50)"</f>
        <v>(50)</v>
      </c>
      <c r="K42" s="59">
        <f>K37</f>
        <v>12672</v>
      </c>
      <c r="L42" s="582" t="str">
        <f>"(50)"</f>
        <v>(50)</v>
      </c>
      <c r="M42" s="59">
        <f>M37</f>
        <v>0</v>
      </c>
      <c r="N42" s="582" t="str">
        <f>"(50)"</f>
        <v>(50)</v>
      </c>
      <c r="O42" s="59">
        <f>O37</f>
        <v>0</v>
      </c>
      <c r="P42" s="67" t="str">
        <f>"(50)"</f>
        <v>(50)</v>
      </c>
    </row>
    <row r="43" spans="2:17" ht="36.950000000000003" customHeight="1" thickBot="1" x14ac:dyDescent="0.3">
      <c r="B43" s="661"/>
      <c r="C43" s="657"/>
      <c r="D43" s="657"/>
      <c r="E43" s="657"/>
      <c r="F43" s="657"/>
      <c r="G43" s="8"/>
      <c r="H43" s="590"/>
      <c r="I43" s="124">
        <f>SUM(K43+M43+O43)</f>
        <v>9877.2000000000007</v>
      </c>
      <c r="J43" s="582" t="str">
        <f>"(55)"</f>
        <v>(55)</v>
      </c>
      <c r="K43" s="59">
        <f>SUM(K38*1.2)</f>
        <v>2557.1999999999998</v>
      </c>
      <c r="L43" s="582" t="str">
        <f>"(55)"</f>
        <v>(55)</v>
      </c>
      <c r="M43" s="59">
        <f>SUM(M38*1.22)</f>
        <v>7320</v>
      </c>
      <c r="N43" s="582" t="str">
        <f>"(55)"</f>
        <v>(55)</v>
      </c>
      <c r="O43" s="59">
        <f>SUM(O38*1.22)</f>
        <v>0</v>
      </c>
      <c r="P43" s="67" t="str">
        <f>"(55)"</f>
        <v>(55)</v>
      </c>
    </row>
    <row r="44" spans="2:17" ht="17.25" x14ac:dyDescent="0.25">
      <c r="B44" s="659" t="str">
        <f>'kuni 2025 detsember tegevuskava'!A36&amp;"/"&amp;'kuni 2025 detsember tegevuskava'!C36</f>
        <v>KuM/Kultuuriministeerium</v>
      </c>
      <c r="C44" s="655" t="str">
        <f>'kuni 2025 detsember tegevuskava'!I36</f>
        <v xml:space="preserve">Analüüsi peamiseks eesmärgiks on hinnata praegust toimemudelit ning välja tuua parendusettepanekud IKT valdkonna kulu-efektiivsemaks ja  tõhusamaks korraldamiseks. </v>
      </c>
      <c r="D44" s="655" t="str">
        <f>'kuni 2025 detsember tegevuskava'!J36</f>
        <v>KuM valitsemisala IKT valdkonna toimemudeli analüüs</v>
      </c>
      <c r="E44" s="655" t="str">
        <f>'kuni 2025 detsember tegevuskava'!K36</f>
        <v xml:space="preserve">Analüüsi tulemina on  parendusettepanekud IKT valdkonna kulu-efektiivsemaks ja  tõhusamaks korraldamiseks. </v>
      </c>
      <c r="F44" s="663" t="str">
        <f>'kuni 2025 detsember tegevuskava'!P36&amp;"/"</f>
        <v>Baaseelarve/</v>
      </c>
      <c r="G44" s="580" cm="1">
        <f t="array" ref="G44">_xlfn.IFS('kuni 2025 detsember tegevuskava'!G36='kuni 2025 detsember tegevuskava'!$G$97,1,'kuni 2025 detsember tegevuskava'!G36='kuni 2025 detsember tegevuskava'!$G$98,2,'kuni 2025 detsember tegevuskava'!G36='kuni 2025 detsember tegevuskava'!$G$99,3,'kuni 2025 detsember tegevuskava'!G36='kuni 2025 detsember tegevuskava'!$G$100,4)</f>
        <v>4</v>
      </c>
      <c r="H44" s="164" cm="1">
        <f t="array" ref="H44">_xlfn.IFS(OR('kuni 2025 detsember tegevuskava'!P36='kuni 2025 detsember tegevuskava'!$P$97,'kuni 2025 detsember tegevuskava'!P36='kuni 2025 detsember tegevuskava'!$P$99,'kuni 2025 detsember tegevuskava'!P36='kuni 2025 detsember tegevuskava'!$P$100,'kuni 2025 detsember tegevuskava'!P36='kuni 2025 detsember tegevuskava'!$P$101),1,'kuni 2025 detsember tegevuskava'!P36='kuni 2025 detsember tegevuskava'!$P$102,2,'kuni 2025 detsember tegevuskava'!P36='kuni 2025 detsember tegevuskava'!$P$103,2,'kuni 2025 detsember tegevuskava'!P36='kuni 2025 detsember tegevuskava'!$P$98,3)</f>
        <v>1</v>
      </c>
      <c r="I44" s="126">
        <f>SUM(I45:I45)</f>
        <v>50000</v>
      </c>
      <c r="J44" s="63"/>
      <c r="K44" s="126">
        <f>SUM(K45:K45)</f>
        <v>0</v>
      </c>
      <c r="L44" s="64"/>
      <c r="M44" s="126">
        <f>SUM(M45:M45)</f>
        <v>50000</v>
      </c>
      <c r="N44" s="65"/>
      <c r="O44" s="62">
        <f>SUM(O45:O45)</f>
        <v>0</v>
      </c>
      <c r="P44" s="66"/>
    </row>
    <row r="45" spans="2:17" ht="17.25" x14ac:dyDescent="0.25">
      <c r="B45" s="660"/>
      <c r="C45" s="656"/>
      <c r="D45" s="656"/>
      <c r="E45" s="656"/>
      <c r="F45" s="664"/>
      <c r="G45" s="576"/>
      <c r="H45" s="577"/>
      <c r="I45" s="124">
        <f t="shared" ref="I45" si="6">SUM(K45+M45+O45)</f>
        <v>50000</v>
      </c>
      <c r="J45" s="60" t="str">
        <f>"(55)"</f>
        <v>(55)</v>
      </c>
      <c r="K45" s="61">
        <f>'kuni 2025 detsember tegevuskava'!Z36</f>
        <v>0</v>
      </c>
      <c r="L45" s="60" t="str">
        <f>"(55)"</f>
        <v>(55)</v>
      </c>
      <c r="M45" s="61">
        <f>'kuni 2025 detsember tegevuskava'!AC36</f>
        <v>50000</v>
      </c>
      <c r="N45" s="60" t="str">
        <f>"(55)"</f>
        <v>(55)</v>
      </c>
      <c r="O45" s="61">
        <f>'kuni 2025 detsember tegevuskava'!AF36</f>
        <v>0</v>
      </c>
      <c r="P45" s="68" t="str">
        <f>"(55)"</f>
        <v>(55)</v>
      </c>
    </row>
    <row r="46" spans="2:17" ht="17.25" x14ac:dyDescent="0.25">
      <c r="B46" s="660"/>
      <c r="C46" s="656"/>
      <c r="D46" s="656"/>
      <c r="E46" s="656"/>
      <c r="F46" s="664"/>
      <c r="G46" s="576"/>
      <c r="H46" s="577"/>
      <c r="I46" s="141" t="s">
        <v>584</v>
      </c>
      <c r="J46" s="8"/>
      <c r="K46" s="8"/>
      <c r="L46" s="8"/>
      <c r="M46" s="8"/>
      <c r="N46" s="8"/>
      <c r="O46" s="8"/>
      <c r="P46" s="140"/>
    </row>
    <row r="47" spans="2:17" ht="24" customHeight="1" thickBot="1" x14ac:dyDescent="0.3">
      <c r="B47" s="660"/>
      <c r="C47" s="656"/>
      <c r="D47" s="656"/>
      <c r="E47" s="656"/>
      <c r="F47" s="664"/>
      <c r="G47" s="576"/>
      <c r="H47" s="577"/>
      <c r="I47" s="132">
        <f>SUM(I48:I48)</f>
        <v>61000</v>
      </c>
      <c r="J47" s="130"/>
      <c r="K47" s="132">
        <f>SUM(K48:K48)</f>
        <v>0</v>
      </c>
      <c r="L47" s="131"/>
      <c r="M47" s="132">
        <f>SUM(M48:M48)</f>
        <v>61000</v>
      </c>
      <c r="N47" s="101"/>
      <c r="O47" s="132">
        <f>SUM(O48:O48)</f>
        <v>0</v>
      </c>
      <c r="P47" s="121"/>
    </row>
    <row r="48" spans="2:17" ht="18" hidden="1" customHeight="1" thickBot="1" x14ac:dyDescent="0.3">
      <c r="B48" s="661"/>
      <c r="C48" s="657"/>
      <c r="D48" s="657"/>
      <c r="E48" s="657"/>
      <c r="F48" s="664"/>
      <c r="G48" s="576"/>
      <c r="H48" s="577"/>
      <c r="I48" s="124">
        <f t="shared" ref="I48" si="7">SUM(K48+M48+O48)</f>
        <v>61000</v>
      </c>
      <c r="J48" s="582" t="str">
        <f>"(55)"</f>
        <v>(55)</v>
      </c>
      <c r="K48" s="59">
        <f>SUM(K45*1.2)</f>
        <v>0</v>
      </c>
      <c r="L48" s="582" t="str">
        <f>"(55)"</f>
        <v>(55)</v>
      </c>
      <c r="M48" s="59">
        <f>SUM(M45*1.22)</f>
        <v>61000</v>
      </c>
      <c r="N48" s="582" t="str">
        <f>"(55)"</f>
        <v>(55)</v>
      </c>
      <c r="O48" s="59">
        <f>SUM(O45*1.22)</f>
        <v>0</v>
      </c>
      <c r="P48" s="67" t="str">
        <f>"(55)"</f>
        <v>(55)</v>
      </c>
    </row>
    <row r="49" spans="2:16" ht="17.25" x14ac:dyDescent="0.25">
      <c r="B49" s="659" t="str">
        <f>'kuni 2025 detsember tegevuskava'!A37&amp;"/"&amp;'kuni 2025 detsember tegevuskava'!C37</f>
        <v>KuM/Eesti Rahvusraamatukogu</v>
      </c>
      <c r="C49" s="655" t="str">
        <f>'kuni 2025 detsember tegevuskava'!I37</f>
        <v xml:space="preserve">Digitaalsete väljaannete kirjeldamine tuleb automatiseerida, hoidmaks kokku aega ja vähendamaks tööjõukulusid, tõstmaks andmekvaliteeti,  rikastamaks andmeid, ning parandamaks ja laiendamaks otsinguvõimalusi. Käsitsi tehtava tööna pole enam võimalik kirjeldada digitaalselt kuhjuvat ainest. Tööprotsesside automatiseerimine võimaldab keskenduda põhiteenuse pakkumisele ja selle kvaliteedile.
</v>
      </c>
      <c r="D49" s="655" t="str">
        <f>'kuni 2025 detsember tegevuskava'!J37</f>
        <v>Automaatne kataloogimine ja märksõnastamine krati arendus*</v>
      </c>
      <c r="E49" s="655" t="str">
        <f>'kuni 2025 detsember tegevuskava'!K37</f>
        <v xml:space="preserve">Loodud on 1 mäluasutuste keskne rakendus, mida kasutab vähemalt 1 mäluasutus (RaRa) oma digiainese kirjeldamisel.
Lahendus on võimeline SäES'i raames laekunud trükieelsete failide pealt looma automaatsed kirjeldused </v>
      </c>
      <c r="F49" s="655" t="str">
        <f>'kuni 2025 detsember tegevuskava'!P37&amp;"/"</f>
        <v>SF 21-27 (taotletav raha)/</v>
      </c>
      <c r="G49" s="580" cm="1">
        <f t="array" ref="G49">_xlfn.IFS('kuni 2025 detsember tegevuskava'!G37='kuni 2025 detsember tegevuskava'!$G$97,1,'kuni 2025 detsember tegevuskava'!G37='kuni 2025 detsember tegevuskava'!$G$98,2,'kuni 2025 detsember tegevuskava'!G37='kuni 2025 detsember tegevuskava'!$G$99,3,'kuni 2025 detsember tegevuskava'!G37='kuni 2025 detsember tegevuskava'!$G$100,4)</f>
        <v>1</v>
      </c>
      <c r="H49" s="164" cm="1">
        <f t="array" ref="H49">_xlfn.IFS(OR('kuni 2025 detsember tegevuskava'!P37='kuni 2025 detsember tegevuskava'!$P$97,'kuni 2025 detsember tegevuskava'!P37='kuni 2025 detsember tegevuskava'!$P$99,'kuni 2025 detsember tegevuskava'!P37='kuni 2025 detsember tegevuskava'!$P$100,'kuni 2025 detsember tegevuskava'!P37='kuni 2025 detsember tegevuskava'!$P$101),1,'kuni 2025 detsember tegevuskava'!P37='kuni 2025 detsember tegevuskava'!$P$102,2,'kuni 2025 detsember tegevuskava'!P37='kuni 2025 detsember tegevuskava'!$P$103,2,'kuni 2025 detsember tegevuskava'!P37='kuni 2025 detsember tegevuskava'!$P$98,3)</f>
        <v>2</v>
      </c>
      <c r="I49" s="126">
        <f>SUM(I50:I50)</f>
        <v>500000</v>
      </c>
      <c r="J49" s="143"/>
      <c r="K49" s="62">
        <f>SUM(K50:K50)</f>
        <v>0</v>
      </c>
      <c r="L49" s="64"/>
      <c r="M49" s="126">
        <f>SUM(M50:M50)</f>
        <v>500000</v>
      </c>
      <c r="N49" s="143"/>
      <c r="O49" s="62">
        <f>SUM(O50:O50)</f>
        <v>0</v>
      </c>
      <c r="P49" s="66"/>
    </row>
    <row r="50" spans="2:16" ht="17.25" x14ac:dyDescent="0.25">
      <c r="B50" s="660"/>
      <c r="C50" s="656"/>
      <c r="D50" s="656"/>
      <c r="E50" s="656"/>
      <c r="F50" s="656"/>
      <c r="G50" s="576"/>
      <c r="H50" s="577"/>
      <c r="I50" s="593">
        <f>SUM(K50+M50+O50)</f>
        <v>500000</v>
      </c>
      <c r="J50" s="594" t="str">
        <f>"(15)"</f>
        <v>(15)</v>
      </c>
      <c r="K50" s="592">
        <f>'kuni 2025 detsember tegevuskava'!X37</f>
        <v>0</v>
      </c>
      <c r="L50" s="582" t="str">
        <f>"(15)"</f>
        <v>(15)</v>
      </c>
      <c r="M50" s="593">
        <f>'kuni 2025 detsember tegevuskava'!AA37</f>
        <v>500000</v>
      </c>
      <c r="N50" s="594" t="str">
        <f>"(15)"</f>
        <v>(15)</v>
      </c>
      <c r="O50" s="592">
        <f>'kuni 2025 detsember tegevuskava'!AD37</f>
        <v>0</v>
      </c>
      <c r="P50" s="67" t="str">
        <f>"(15)"</f>
        <v>(15)</v>
      </c>
    </row>
    <row r="51" spans="2:16" ht="17.25" x14ac:dyDescent="0.25">
      <c r="B51" s="660"/>
      <c r="C51" s="656"/>
      <c r="D51" s="656"/>
      <c r="E51" s="656"/>
      <c r="F51" s="656"/>
      <c r="G51" s="576"/>
      <c r="H51" s="577"/>
      <c r="I51" s="159" t="s">
        <v>584</v>
      </c>
      <c r="J51" s="318"/>
      <c r="K51" s="159"/>
      <c r="L51" s="318"/>
      <c r="M51" s="8"/>
      <c r="N51" s="8"/>
      <c r="O51" s="159"/>
      <c r="P51" s="166"/>
    </row>
    <row r="52" spans="2:16" ht="17.25" x14ac:dyDescent="0.25">
      <c r="B52" s="660"/>
      <c r="C52" s="656"/>
      <c r="D52" s="656"/>
      <c r="E52" s="656"/>
      <c r="F52" s="656"/>
      <c r="G52" s="576"/>
      <c r="H52" s="577"/>
      <c r="I52" s="125">
        <f>SUM(I53:I53)</f>
        <v>610000</v>
      </c>
      <c r="J52" s="582"/>
      <c r="K52" s="125">
        <f>SUM(K53:K53)</f>
        <v>0</v>
      </c>
      <c r="L52" s="583"/>
      <c r="M52" s="148">
        <f>SUM(M53:M53)</f>
        <v>610000</v>
      </c>
      <c r="N52" s="101"/>
      <c r="O52" s="132">
        <f>SUM(O53:O53)</f>
        <v>0</v>
      </c>
      <c r="P52" s="121"/>
    </row>
    <row r="53" spans="2:16" ht="93.95" customHeight="1" thickBot="1" x14ac:dyDescent="0.3">
      <c r="B53" s="661"/>
      <c r="C53" s="657"/>
      <c r="D53" s="657"/>
      <c r="E53" s="657"/>
      <c r="F53" s="657"/>
      <c r="G53" s="576"/>
      <c r="H53" s="577"/>
      <c r="I53" s="124">
        <f>SUM(K53+M53+O53)</f>
        <v>610000</v>
      </c>
      <c r="J53" s="582" t="str">
        <f>"(15)"</f>
        <v>(15)</v>
      </c>
      <c r="K53" s="59">
        <f>SUM(K50*1.2)</f>
        <v>0</v>
      </c>
      <c r="L53" s="582" t="str">
        <f>"(15)"</f>
        <v>(15)</v>
      </c>
      <c r="M53" s="59">
        <f>SUM(M50*1.22)</f>
        <v>610000</v>
      </c>
      <c r="N53" s="582" t="str">
        <f>"(15)"</f>
        <v>(15)</v>
      </c>
      <c r="O53" s="59">
        <f>SUM(O50*1.22)</f>
        <v>0</v>
      </c>
      <c r="P53" s="67" t="str">
        <f>"(15)"</f>
        <v>(15)</v>
      </c>
    </row>
    <row r="54" spans="2:16" ht="17.25" x14ac:dyDescent="0.25">
      <c r="B54" s="659" t="str">
        <f>'kuni 2025 detsember tegevuskava'!A38&amp;"/"&amp;'kuni 2025 detsember tegevuskava'!C38</f>
        <v>KuM/Eesti Rahvusraamatukogu</v>
      </c>
      <c r="C54" s="655" t="str">
        <f>'kuni 2025 detsember tegevuskava'!I38</f>
        <v xml:space="preserve">Digitaalsete väljaannete kirjeldamine tuleb automatiseerida, hoidmaks kokku aega ja vähendamaks tööjõukulusid, tõstmaks andmekvaliteeti,  rikastamaks andmeid, ning parandamaks ja laiendamaks otsinguvõimalusi. Käsitsi tehtava tööna pole enam võimalik kirjeldada digitaalselt kuhjuvat ainest. Tööprotsesside automatiseerimine võimaldab keskenduda põhiteenuse pakkumisele ja selle kvaliteedile.
</v>
      </c>
      <c r="D54" s="655" t="str">
        <f>'kuni 2025 detsember tegevuskava'!J38</f>
        <v>Automaatne kataloogimine ja märksõnastamine krati ülalpidamiskulud</v>
      </c>
      <c r="E54" s="655" t="str">
        <f>'kuni 2025 detsember tegevuskava'!K38</f>
        <v xml:space="preserve">Loodud on 1 mäluasutuste keskne rakendus, mida kasutab vähemalt 1 mäluasutus (RaRa) oma digiainese kirjeldamisel.
Lahendus on võimeline SäES'i raames laekunud trükieelsete failide pealt looma automaatsed kirjeldused </v>
      </c>
      <c r="F54" s="655" t="str">
        <f>'kuni 2025 detsember tegevuskava'!P38&amp;"/"</f>
        <v>Baaseelarve/</v>
      </c>
      <c r="G54" s="580" cm="1">
        <f t="array" ref="G54">_xlfn.IFS('kuni 2025 detsember tegevuskava'!G38='kuni 2025 detsember tegevuskava'!$G$97,1,'kuni 2025 detsember tegevuskava'!G38='kuni 2025 detsember tegevuskava'!$G$98,2,'kuni 2025 detsember tegevuskava'!G38='kuni 2025 detsember tegevuskava'!$G$99,3,'kuni 2025 detsember tegevuskava'!G38='kuni 2025 detsember tegevuskava'!$G$100,4)</f>
        <v>1</v>
      </c>
      <c r="H54" s="164" cm="1">
        <f t="array" ref="H54">_xlfn.IFS(OR('kuni 2025 detsember tegevuskava'!P38='kuni 2025 detsember tegevuskava'!$P$97,'kuni 2025 detsember tegevuskava'!P38='kuni 2025 detsember tegevuskava'!$P$99,'kuni 2025 detsember tegevuskava'!P38='kuni 2025 detsember tegevuskava'!$P$100,'kuni 2025 detsember tegevuskava'!P38='kuni 2025 detsember tegevuskava'!$P$101),1,'kuni 2025 detsember tegevuskava'!P38='kuni 2025 detsember tegevuskava'!$P$102,2,'kuni 2025 detsember tegevuskava'!P38='kuni 2025 detsember tegevuskava'!$P$103,2,'kuni 2025 detsember tegevuskava'!P38='kuni 2025 detsember tegevuskava'!$P$98,3)</f>
        <v>1</v>
      </c>
      <c r="I54" s="126">
        <f>SUM(I55:I55)</f>
        <v>44228</v>
      </c>
      <c r="J54" s="63"/>
      <c r="K54" s="126">
        <f>SUM(K55:K55)</f>
        <v>0</v>
      </c>
      <c r="L54" s="64"/>
      <c r="M54" s="126">
        <f>SUM(M55:M55)</f>
        <v>0</v>
      </c>
      <c r="N54" s="65"/>
      <c r="O54" s="62">
        <f>SUM(O55:O55)</f>
        <v>44228</v>
      </c>
      <c r="P54" s="66"/>
    </row>
    <row r="55" spans="2:16" ht="17.25" x14ac:dyDescent="0.25">
      <c r="B55" s="660"/>
      <c r="C55" s="656"/>
      <c r="D55" s="656"/>
      <c r="E55" s="656"/>
      <c r="F55" s="656"/>
      <c r="G55" s="576"/>
      <c r="H55" s="577"/>
      <c r="I55" s="124">
        <f t="shared" ref="I55" si="8">SUM(K55+M55+O55)</f>
        <v>44228</v>
      </c>
      <c r="J55" s="60" t="str">
        <f>"(55)"</f>
        <v>(55)</v>
      </c>
      <c r="K55" s="61">
        <f>'kuni 2025 detsember tegevuskava'!Z38</f>
        <v>0</v>
      </c>
      <c r="L55" s="60" t="str">
        <f>"(55)"</f>
        <v>(55)</v>
      </c>
      <c r="M55" s="61">
        <f>'kuni 2025 detsember tegevuskava'!AC38</f>
        <v>0</v>
      </c>
      <c r="N55" s="60" t="str">
        <f>"(55)"</f>
        <v>(55)</v>
      </c>
      <c r="O55" s="61">
        <f>'kuni 2025 detsember tegevuskava'!AF38</f>
        <v>44228</v>
      </c>
      <c r="P55" s="68" t="str">
        <f>"(55)"</f>
        <v>(55)</v>
      </c>
    </row>
    <row r="56" spans="2:16" ht="17.25" x14ac:dyDescent="0.25">
      <c r="B56" s="660"/>
      <c r="C56" s="656"/>
      <c r="D56" s="656"/>
      <c r="E56" s="656"/>
      <c r="F56" s="656"/>
      <c r="G56" s="576"/>
      <c r="H56" s="577"/>
      <c r="I56" s="157" t="s">
        <v>584</v>
      </c>
      <c r="J56" s="8"/>
      <c r="K56" s="8"/>
      <c r="L56" s="8"/>
      <c r="M56" s="8"/>
      <c r="N56" s="8"/>
      <c r="O56" s="8"/>
      <c r="P56" s="140"/>
    </row>
    <row r="57" spans="2:16" ht="17.25" x14ac:dyDescent="0.25">
      <c r="B57" s="660"/>
      <c r="C57" s="656"/>
      <c r="D57" s="656"/>
      <c r="E57" s="656"/>
      <c r="F57" s="656"/>
      <c r="G57" s="576"/>
      <c r="H57" s="577"/>
      <c r="I57" s="148">
        <f>SUM(I58:I58)</f>
        <v>53958.159999999996</v>
      </c>
      <c r="J57" s="57"/>
      <c r="K57" s="148">
        <f>SUM(K58:K58)</f>
        <v>0</v>
      </c>
      <c r="L57" s="58"/>
      <c r="M57" s="148">
        <f>SUM(M58:M58)</f>
        <v>0</v>
      </c>
      <c r="N57" s="101"/>
      <c r="O57" s="148">
        <f>SUM(O58:O58)</f>
        <v>53958.159999999996</v>
      </c>
      <c r="P57" s="121"/>
    </row>
    <row r="58" spans="2:16" ht="84.75" customHeight="1" thickBot="1" x14ac:dyDescent="0.3">
      <c r="B58" s="661"/>
      <c r="C58" s="657"/>
      <c r="D58" s="657"/>
      <c r="E58" s="657"/>
      <c r="F58" s="657"/>
      <c r="G58" s="576"/>
      <c r="H58" s="577"/>
      <c r="I58" s="124">
        <f t="shared" ref="I58" si="9">SUM(K58+M58+O58)</f>
        <v>53958.159999999996</v>
      </c>
      <c r="J58" s="582" t="str">
        <f>"(55)"</f>
        <v>(55)</v>
      </c>
      <c r="K58" s="59">
        <f>SUM(K55*1.2)</f>
        <v>0</v>
      </c>
      <c r="L58" s="582" t="str">
        <f>"(55)"</f>
        <v>(55)</v>
      </c>
      <c r="M58" s="59">
        <f>SUM(M55*1.22)</f>
        <v>0</v>
      </c>
      <c r="N58" s="582" t="str">
        <f>"(55)"</f>
        <v>(55)</v>
      </c>
      <c r="O58" s="59">
        <f>SUM(O55*1.22)</f>
        <v>53958.159999999996</v>
      </c>
      <c r="P58" s="67" t="str">
        <f>"(55)"</f>
        <v>(55)</v>
      </c>
    </row>
    <row r="59" spans="2:16" ht="17.25" x14ac:dyDescent="0.25">
      <c r="B59" s="659" t="str">
        <f>'kuni 2025 detsember tegevuskava'!A39&amp;"/"&amp;'kuni 2025 detsember tegevuskava'!C39</f>
        <v>KuM/Eesti Rahvakultuuri Keskus,
ELTSA (Kultuuriministeerium)</v>
      </c>
      <c r="C59" s="655" t="str">
        <f>'kuni 2025 detsember tegevuskava'!I39</f>
        <v>ELTSA ja RAKU andmekogud on vananenud platvormidel ega ole enam uuendatavad, on suur oht, et vajalikud andmed lähevad kaduma.</v>
      </c>
      <c r="D59" s="655" t="str">
        <f>'kuni 2025 detsember tegevuskava'!J39</f>
        <v>ELTSA-RAKU andmekogu arendus</v>
      </c>
      <c r="E59" s="655" t="str">
        <f>'kuni 2025 detsember tegevuskava'!K39</f>
        <v>Loodud on kaasaegsetel platvormidel ELTSA ja RAKU ühisandmekogu</v>
      </c>
      <c r="F59" s="655" t="str">
        <f>'kuni 2025 detsember tegevuskava'!P39&amp;"/"</f>
        <v>SF 21-27 (taotletav raha)/</v>
      </c>
      <c r="G59" s="580" cm="1">
        <f t="array" ref="G59">_xlfn.IFS('kuni 2025 detsember tegevuskava'!G39='kuni 2025 detsember tegevuskava'!$G$97,1,'kuni 2025 detsember tegevuskava'!G39='kuni 2025 detsember tegevuskava'!$G$98,2,'kuni 2025 detsember tegevuskava'!G39='kuni 2025 detsember tegevuskava'!$G$99,3,'kuni 2025 detsember tegevuskava'!G39='kuni 2025 detsember tegevuskava'!$G$100,4)</f>
        <v>1</v>
      </c>
      <c r="H59" s="164" cm="1">
        <f t="array" ref="H59">_xlfn.IFS(OR('kuni 2025 detsember tegevuskava'!P39='kuni 2025 detsember tegevuskava'!$P$97,'kuni 2025 detsember tegevuskava'!P39='kuni 2025 detsember tegevuskava'!$P$99,'kuni 2025 detsember tegevuskava'!P39='kuni 2025 detsember tegevuskava'!$P$100,'kuni 2025 detsember tegevuskava'!P39='kuni 2025 detsember tegevuskava'!$P$101),1,'kuni 2025 detsember tegevuskava'!P39='kuni 2025 detsember tegevuskava'!$P$102,2,'kuni 2025 detsember tegevuskava'!P39='kuni 2025 detsember tegevuskava'!$P$103,2,'kuni 2025 detsember tegevuskava'!P39='kuni 2025 detsember tegevuskava'!$P$98,3)</f>
        <v>2</v>
      </c>
      <c r="I59" s="119">
        <f>SUM(I60:I60)</f>
        <v>350000</v>
      </c>
      <c r="J59" s="120"/>
      <c r="K59" s="119">
        <f>SUM(K60:K60)</f>
        <v>0</v>
      </c>
      <c r="L59" s="152"/>
      <c r="M59" s="119">
        <f>SUM(M60:M60)</f>
        <v>350000</v>
      </c>
      <c r="N59" s="120"/>
      <c r="O59" s="119">
        <f>SUM(O60:O60)</f>
        <v>0</v>
      </c>
      <c r="P59" s="82"/>
    </row>
    <row r="60" spans="2:16" ht="17.25" x14ac:dyDescent="0.25">
      <c r="B60" s="660"/>
      <c r="C60" s="656"/>
      <c r="D60" s="656"/>
      <c r="E60" s="656"/>
      <c r="F60" s="656"/>
      <c r="G60" s="576"/>
      <c r="H60" s="577"/>
      <c r="I60" s="98">
        <f>SUM(K60+M60+O60)</f>
        <v>350000</v>
      </c>
      <c r="J60" s="99" t="str">
        <f>"(15)"</f>
        <v>(15)</v>
      </c>
      <c r="K60" s="98">
        <f>'kuni 2025 detsember tegevuskava'!X39</f>
        <v>0</v>
      </c>
      <c r="L60" s="99" t="str">
        <f>"(15)"</f>
        <v>(15)</v>
      </c>
      <c r="M60" s="98">
        <f>'kuni 2025 detsember tegevuskava'!AA39</f>
        <v>350000</v>
      </c>
      <c r="N60" s="99" t="str">
        <f>"(15)"</f>
        <v>(15)</v>
      </c>
      <c r="O60" s="98">
        <f>'kuni 2025 detsember tegevuskava'!AD39</f>
        <v>0</v>
      </c>
      <c r="P60" s="595" t="str">
        <f>"(15)"</f>
        <v>(15)</v>
      </c>
    </row>
    <row r="61" spans="2:16" ht="17.25" x14ac:dyDescent="0.25">
      <c r="B61" s="660"/>
      <c r="C61" s="656"/>
      <c r="D61" s="656"/>
      <c r="E61" s="656"/>
      <c r="F61" s="656"/>
      <c r="G61" s="576"/>
      <c r="H61" s="577"/>
      <c r="I61" s="133" t="s">
        <v>584</v>
      </c>
      <c r="J61" s="8"/>
      <c r="K61" s="8"/>
      <c r="L61" s="8"/>
      <c r="M61" s="8"/>
      <c r="N61" s="8"/>
      <c r="O61" s="8"/>
      <c r="P61" s="140"/>
    </row>
    <row r="62" spans="2:16" ht="17.25" x14ac:dyDescent="0.25">
      <c r="B62" s="660"/>
      <c r="C62" s="656"/>
      <c r="D62" s="656"/>
      <c r="E62" s="656"/>
      <c r="F62" s="656"/>
      <c r="G62" s="576"/>
      <c r="H62" s="577"/>
      <c r="I62" s="150">
        <f>SUM(I63:I63)</f>
        <v>427000</v>
      </c>
      <c r="J62" s="151"/>
      <c r="K62" s="88">
        <f>SUM(K63:K63)</f>
        <v>0</v>
      </c>
      <c r="L62" s="153"/>
      <c r="M62" s="88">
        <f>SUM(M63:M63)</f>
        <v>427000</v>
      </c>
      <c r="N62" s="101"/>
      <c r="O62" s="150">
        <f>SUM(O63:O63)</f>
        <v>0</v>
      </c>
      <c r="P62" s="121"/>
    </row>
    <row r="63" spans="2:16" ht="29.1" customHeight="1" thickBot="1" x14ac:dyDescent="0.3">
      <c r="B63" s="661"/>
      <c r="C63" s="657"/>
      <c r="D63" s="657"/>
      <c r="E63" s="657"/>
      <c r="F63" s="657"/>
      <c r="G63" s="576"/>
      <c r="H63" s="577"/>
      <c r="I63" s="96">
        <f>SUM(K63+M63+O63)</f>
        <v>427000</v>
      </c>
      <c r="J63" s="579" t="str">
        <f>"(15)"</f>
        <v>(15)</v>
      </c>
      <c r="K63" s="83">
        <f>SUM(K60*1.2)</f>
        <v>0</v>
      </c>
      <c r="L63" s="579" t="str">
        <f>"(15)"</f>
        <v>(15)</v>
      </c>
      <c r="M63" s="83">
        <f>SUM(M60*1.22)</f>
        <v>427000</v>
      </c>
      <c r="N63" s="579" t="str">
        <f>"(15)"</f>
        <v>(15)</v>
      </c>
      <c r="O63" s="83">
        <f>SUM(O60*1.22)</f>
        <v>0</v>
      </c>
      <c r="P63" s="84" t="str">
        <f>"(15)"</f>
        <v>(15)</v>
      </c>
    </row>
    <row r="64" spans="2:16" ht="17.25" x14ac:dyDescent="0.25">
      <c r="B64" s="659" t="str">
        <f>'kuni 2025 detsember tegevuskava'!A40&amp;"/"&amp;'kuni 2025 detsember tegevuskava'!C40</f>
        <v>KuM/Eesti Rahvakultuuri Keskus,
ELTSA</v>
      </c>
      <c r="C64" s="655" t="str">
        <f>'kuni 2025 detsember tegevuskava'!I40</f>
        <v>ELTSA ja RAKU andmekogud on vananenud platvormidel ega ole enam uuendatavad, on suur oht, et vajalikud andmed lähevad kaduma.</v>
      </c>
      <c r="D64" s="655" t="str">
        <f>'kuni 2025 detsember tegevuskava'!J40</f>
        <v>ELTSA-RAKU andmekogu ülalpidamiskulud</v>
      </c>
      <c r="E64" s="655" t="str">
        <f>'kuni 2025 detsember tegevuskava'!K40</f>
        <v>Loodud on kaasaegsetel platvormidel ELTSA ja RAKU ühisandmekogu</v>
      </c>
      <c r="F64" s="655" t="str">
        <f>'kuni 2025 detsember tegevuskava'!P40&amp;"/"</f>
        <v>Baaseelarve/</v>
      </c>
      <c r="G64" s="580" cm="1">
        <f t="array" ref="G64">_xlfn.IFS('kuni 2025 detsember tegevuskava'!G40='kuni 2025 detsember tegevuskava'!$G$97,1,'kuni 2025 detsember tegevuskava'!G40='kuni 2025 detsember tegevuskava'!$G$98,2,'kuni 2025 detsember tegevuskava'!G40='kuni 2025 detsember tegevuskava'!$G$99,3,'kuni 2025 detsember tegevuskava'!G40='kuni 2025 detsember tegevuskava'!$G$100,4)</f>
        <v>2</v>
      </c>
      <c r="H64" s="164" cm="1">
        <f t="array" ref="H64">_xlfn.IFS(OR('kuni 2025 detsember tegevuskava'!P40='kuni 2025 detsember tegevuskava'!$P$97,'kuni 2025 detsember tegevuskava'!P40='kuni 2025 detsember tegevuskava'!$P$99,'kuni 2025 detsember tegevuskava'!P40='kuni 2025 detsember tegevuskava'!$P$100,'kuni 2025 detsember tegevuskava'!P40='kuni 2025 detsember tegevuskava'!$P$101),1,'kuni 2025 detsember tegevuskava'!P40='kuni 2025 detsember tegevuskava'!$P$102,2,'kuni 2025 detsember tegevuskava'!P40='kuni 2025 detsember tegevuskava'!$P$103,2,'kuni 2025 detsember tegevuskava'!P40='kuni 2025 detsember tegevuskava'!$P$98,3)</f>
        <v>1</v>
      </c>
      <c r="I64" s="119">
        <f>SUM(I65:I65)</f>
        <v>36000</v>
      </c>
      <c r="J64" s="79"/>
      <c r="K64" s="119">
        <f>SUM(K65:K65)</f>
        <v>0</v>
      </c>
      <c r="L64" s="80"/>
      <c r="M64" s="119">
        <f>SUM(M65:M65)</f>
        <v>0</v>
      </c>
      <c r="N64" s="81"/>
      <c r="O64" s="78">
        <f>SUM(O65:O65)</f>
        <v>36000</v>
      </c>
      <c r="P64" s="82"/>
    </row>
    <row r="65" spans="2:16" ht="17.25" x14ac:dyDescent="0.25">
      <c r="B65" s="660"/>
      <c r="C65" s="656"/>
      <c r="D65" s="656"/>
      <c r="E65" s="656"/>
      <c r="F65" s="656"/>
      <c r="G65" s="576"/>
      <c r="H65" s="577"/>
      <c r="I65" s="96">
        <f>SUM(K65+M65+O65)</f>
        <v>36000</v>
      </c>
      <c r="J65" s="85" t="str">
        <f>"(55)"</f>
        <v>(55)</v>
      </c>
      <c r="K65" s="86">
        <f>'kuni 2025 detsember tegevuskava'!Z40</f>
        <v>0</v>
      </c>
      <c r="L65" s="85" t="str">
        <f>"(55)"</f>
        <v>(55)</v>
      </c>
      <c r="M65" s="86">
        <f>'kuni 2025 detsember tegevuskava'!AC40</f>
        <v>0</v>
      </c>
      <c r="N65" s="85" t="str">
        <f>"(55)"</f>
        <v>(55)</v>
      </c>
      <c r="O65" s="86">
        <f>'kuni 2025 detsember tegevuskava'!AF40</f>
        <v>36000</v>
      </c>
      <c r="P65" s="87" t="str">
        <f>"(55)"</f>
        <v>(55)</v>
      </c>
    </row>
    <row r="66" spans="2:16" ht="17.25" x14ac:dyDescent="0.25">
      <c r="B66" s="660"/>
      <c r="C66" s="656"/>
      <c r="D66" s="656"/>
      <c r="E66" s="656"/>
      <c r="F66" s="656"/>
      <c r="G66" s="576"/>
      <c r="H66" s="577"/>
      <c r="I66" s="158" t="s">
        <v>584</v>
      </c>
      <c r="J66" s="8"/>
      <c r="K66" s="8"/>
      <c r="L66" s="8"/>
      <c r="M66" s="8"/>
      <c r="N66" s="8"/>
      <c r="O66" s="8"/>
      <c r="P66" s="140"/>
    </row>
    <row r="67" spans="2:16" ht="17.25" x14ac:dyDescent="0.25">
      <c r="B67" s="660"/>
      <c r="C67" s="656"/>
      <c r="D67" s="656"/>
      <c r="E67" s="656"/>
      <c r="F67" s="656"/>
      <c r="G67" s="576"/>
      <c r="H67" s="577"/>
      <c r="I67" s="156">
        <f>SUM(I68:I68)</f>
        <v>43920</v>
      </c>
      <c r="J67" s="151"/>
      <c r="K67" s="88">
        <f>SUM(K68:K68)</f>
        <v>0</v>
      </c>
      <c r="L67" s="89"/>
      <c r="M67" s="150">
        <f>SUM(M68:M68)</f>
        <v>0</v>
      </c>
      <c r="N67" s="101"/>
      <c r="O67" s="150">
        <f>SUM(O68:O68)</f>
        <v>43920</v>
      </c>
      <c r="P67" s="121"/>
    </row>
    <row r="68" spans="2:16" ht="18.600000000000001" customHeight="1" thickBot="1" x14ac:dyDescent="0.3">
      <c r="B68" s="661"/>
      <c r="C68" s="657"/>
      <c r="D68" s="657"/>
      <c r="E68" s="657"/>
      <c r="F68" s="657"/>
      <c r="G68" s="576"/>
      <c r="H68" s="577"/>
      <c r="I68" s="96">
        <f>SUM(K68+M68+O68)</f>
        <v>43920</v>
      </c>
      <c r="J68" s="579" t="str">
        <f>"(55)"</f>
        <v>(55)</v>
      </c>
      <c r="K68" s="83">
        <f>SUM(K65*1.2)</f>
        <v>0</v>
      </c>
      <c r="L68" s="579" t="str">
        <f>"(55)"</f>
        <v>(55)</v>
      </c>
      <c r="M68" s="83">
        <f>SUM(M65*1.22)</f>
        <v>0</v>
      </c>
      <c r="N68" s="579" t="str">
        <f>"(55)"</f>
        <v>(55)</v>
      </c>
      <c r="O68" s="83">
        <f>SUM(O65*1.22)</f>
        <v>43920</v>
      </c>
      <c r="P68" s="84" t="str">
        <f>"(55)"</f>
        <v>(55)</v>
      </c>
    </row>
    <row r="69" spans="2:16" ht="17.25" x14ac:dyDescent="0.25">
      <c r="B69" s="659" t="str">
        <f>'kuni 2025 detsember tegevuskava'!A41&amp;"/"&amp;'kuni 2025 detsember tegevuskava'!C41</f>
        <v>KuM/Muinsuskaitseamet</v>
      </c>
      <c r="C69" s="655" t="str">
        <f>'kuni 2025 detsember tegevuskava'!I41</f>
        <v>Vana MuIS süsteem, tema funktsionaalsused ja kasutusmugavus ei vasta tänastele vajadustele</v>
      </c>
      <c r="D69" s="655" t="str">
        <f>'kuni 2025 detsember tegevuskava'!J41</f>
        <v>MuIS etapp II arendus*</v>
      </c>
      <c r="E69" s="655" t="str">
        <f>'kuni 2025 detsember tegevuskava'!K41</f>
        <v>MuIS etapp II tööd on valminud.</v>
      </c>
      <c r="F69" s="655" t="str">
        <f>'kuni 2025 detsember tegevuskava'!P41&amp;"/"</f>
        <v>SF 21-27 (taotletav raha)/</v>
      </c>
      <c r="G69" s="580" cm="1">
        <f t="array" ref="G69">_xlfn.IFS('kuni 2025 detsember tegevuskava'!G41='kuni 2025 detsember tegevuskava'!$G$97,1,'kuni 2025 detsember tegevuskava'!G41='kuni 2025 detsember tegevuskava'!$G$98,2,'kuni 2025 detsember tegevuskava'!G41='kuni 2025 detsember tegevuskava'!$G$99,3,'kuni 2025 detsember tegevuskava'!G41='kuni 2025 detsember tegevuskava'!$G$100,4)</f>
        <v>1</v>
      </c>
      <c r="H69" s="164" cm="1">
        <f t="array" ref="H69">_xlfn.IFS(OR('kuni 2025 detsember tegevuskava'!P41='kuni 2025 detsember tegevuskava'!$P$97,'kuni 2025 detsember tegevuskava'!P41='kuni 2025 detsember tegevuskava'!$P$99,'kuni 2025 detsember tegevuskava'!P41='kuni 2025 detsember tegevuskava'!$P$100,'kuni 2025 detsember tegevuskava'!P41='kuni 2025 detsember tegevuskava'!$P$101),1,'kuni 2025 detsember tegevuskava'!P41='kuni 2025 detsember tegevuskava'!$P$102,2,'kuni 2025 detsember tegevuskava'!P41='kuni 2025 detsember tegevuskava'!$P$103,2,'kuni 2025 detsember tegevuskava'!P41='kuni 2025 detsember tegevuskava'!$P$98,3)</f>
        <v>2</v>
      </c>
      <c r="I69" s="119">
        <f>SUM(I70:I70)</f>
        <v>500000</v>
      </c>
      <c r="J69" s="120"/>
      <c r="K69" s="119">
        <f>SUM(K70:K70)</f>
        <v>0</v>
      </c>
      <c r="L69" s="152"/>
      <c r="M69" s="119">
        <f>SUM(M70:M70)</f>
        <v>500000</v>
      </c>
      <c r="N69" s="120"/>
      <c r="O69" s="119">
        <f>SUM(O70:O70)</f>
        <v>0</v>
      </c>
      <c r="P69" s="82"/>
    </row>
    <row r="70" spans="2:16" ht="17.25" x14ac:dyDescent="0.25">
      <c r="B70" s="660"/>
      <c r="C70" s="656"/>
      <c r="D70" s="656"/>
      <c r="E70" s="656"/>
      <c r="F70" s="656"/>
      <c r="G70" s="576"/>
      <c r="H70" s="577"/>
      <c r="I70" s="98">
        <f>SUM(K70+M70+O70)</f>
        <v>500000</v>
      </c>
      <c r="J70" s="99" t="str">
        <f>"(15)"</f>
        <v>(15)</v>
      </c>
      <c r="K70" s="98">
        <f>'kuni 2025 detsember tegevuskava'!X41</f>
        <v>0</v>
      </c>
      <c r="L70" s="99" t="str">
        <f>"(15)"</f>
        <v>(15)</v>
      </c>
      <c r="M70" s="98">
        <f>'kuni 2025 detsember tegevuskava'!AA41</f>
        <v>500000</v>
      </c>
      <c r="N70" s="99" t="str">
        <f>"(15)"</f>
        <v>(15)</v>
      </c>
      <c r="O70" s="98">
        <f>'kuni 2025 detsember tegevuskava'!AD41</f>
        <v>0</v>
      </c>
      <c r="P70" s="595" t="str">
        <f>"(15)"</f>
        <v>(15)</v>
      </c>
    </row>
    <row r="71" spans="2:16" ht="17.25" x14ac:dyDescent="0.25">
      <c r="B71" s="660"/>
      <c r="C71" s="656"/>
      <c r="D71" s="656"/>
      <c r="E71" s="656"/>
      <c r="F71" s="656"/>
      <c r="G71" s="576"/>
      <c r="H71" s="577"/>
      <c r="I71" s="134" t="s">
        <v>584</v>
      </c>
      <c r="J71" s="8"/>
      <c r="K71" s="8"/>
      <c r="L71" s="8"/>
      <c r="M71" s="8"/>
      <c r="N71" s="8"/>
      <c r="O71" s="8"/>
      <c r="P71" s="140"/>
    </row>
    <row r="72" spans="2:16" ht="17.25" x14ac:dyDescent="0.25">
      <c r="B72" s="660"/>
      <c r="C72" s="656"/>
      <c r="D72" s="656"/>
      <c r="E72" s="656"/>
      <c r="F72" s="656"/>
      <c r="G72" s="576"/>
      <c r="H72" s="577"/>
      <c r="I72" s="156">
        <f>SUM(I73:I73)</f>
        <v>610000</v>
      </c>
      <c r="J72" s="102"/>
      <c r="K72" s="94">
        <f>SUM(K73:K73)</f>
        <v>0</v>
      </c>
      <c r="L72" s="103"/>
      <c r="M72" s="88">
        <f>SUM(M73:M73)</f>
        <v>610000</v>
      </c>
      <c r="N72" s="101"/>
      <c r="O72" s="150">
        <f>SUM(O73:O73)</f>
        <v>0</v>
      </c>
      <c r="P72" s="121"/>
    </row>
    <row r="73" spans="2:16" ht="18.95" customHeight="1" thickBot="1" x14ac:dyDescent="0.3">
      <c r="B73" s="661"/>
      <c r="C73" s="657"/>
      <c r="D73" s="657"/>
      <c r="E73" s="657"/>
      <c r="F73" s="657"/>
      <c r="G73" s="576"/>
      <c r="H73" s="577"/>
      <c r="I73" s="96">
        <f>SUM(K73+M73+O73)</f>
        <v>610000</v>
      </c>
      <c r="J73" s="579" t="str">
        <f>"(15)"</f>
        <v>(15)</v>
      </c>
      <c r="K73" s="96">
        <f>SUM(K70*1.2)</f>
        <v>0</v>
      </c>
      <c r="L73" s="97" t="str">
        <f>"(15)"</f>
        <v>(15)</v>
      </c>
      <c r="M73" s="578">
        <f>SUM(M70*1.22)</f>
        <v>610000</v>
      </c>
      <c r="N73" s="579" t="str">
        <f>"(15)"</f>
        <v>(15)</v>
      </c>
      <c r="O73" s="83">
        <f>SUM(O70*1.22)</f>
        <v>0</v>
      </c>
      <c r="P73" s="84" t="str">
        <f>"(15)"</f>
        <v>(15)</v>
      </c>
    </row>
    <row r="74" spans="2:16" ht="17.25" x14ac:dyDescent="0.25">
      <c r="B74" s="659" t="str">
        <f>'kuni 2025 detsember tegevuskava'!A42&amp;"/"&amp;'kuni 2025 detsember tegevuskava'!C42</f>
        <v>KuM/Muinsuskaitseamet</v>
      </c>
      <c r="C74" s="655" t="str">
        <f>'kuni 2025 detsember tegevuskava'!I42</f>
        <v>Vana MuIS süsteem, tema funktsionaalsused ja kasutusmugavus ei vasta tänastele vajadustele</v>
      </c>
      <c r="D74" s="655" t="str">
        <f>'kuni 2025 detsember tegevuskava'!J42</f>
        <v>MuIS etapp II arendus - ülalpidamiskulud</v>
      </c>
      <c r="E74" s="655" t="str">
        <f>'kuni 2025 detsember tegevuskava'!K42</f>
        <v>MuIS etapp II tööd on valminud.</v>
      </c>
      <c r="F74" s="655" t="str">
        <f>'kuni 2025 detsember tegevuskava'!P42&amp;"/"</f>
        <v>Baaseelarve/</v>
      </c>
      <c r="G74" s="580" cm="1">
        <f t="array" ref="G74">_xlfn.IFS('kuni 2025 detsember tegevuskava'!G42='kuni 2025 detsember tegevuskava'!$G$97,1,'kuni 2025 detsember tegevuskava'!G42='kuni 2025 detsember tegevuskava'!$G$98,2,'kuni 2025 detsember tegevuskava'!G42='kuni 2025 detsember tegevuskava'!$G$99,3,'kuni 2025 detsember tegevuskava'!G42='kuni 2025 detsember tegevuskava'!$G$100,4)</f>
        <v>1</v>
      </c>
      <c r="H74" s="164" cm="1">
        <f t="array" ref="H74">_xlfn.IFS(OR('kuni 2025 detsember tegevuskava'!P42='kuni 2025 detsember tegevuskava'!$P$97,'kuni 2025 detsember tegevuskava'!P42='kuni 2025 detsember tegevuskava'!$P$99,'kuni 2025 detsember tegevuskava'!P42='kuni 2025 detsember tegevuskava'!$P$100,'kuni 2025 detsember tegevuskava'!P42='kuni 2025 detsember tegevuskava'!$P$101),1,'kuni 2025 detsember tegevuskava'!P42='kuni 2025 detsember tegevuskava'!$P$102,2,'kuni 2025 detsember tegevuskava'!P42='kuni 2025 detsember tegevuskava'!$P$103,2,'kuni 2025 detsember tegevuskava'!P42='kuni 2025 detsember tegevuskava'!$P$98,3)</f>
        <v>1</v>
      </c>
      <c r="I74" s="119">
        <f>SUM(I75:I75)</f>
        <v>1171910.3999999999</v>
      </c>
      <c r="J74" s="120"/>
      <c r="K74" s="78">
        <f>SUM(K75:K75)</f>
        <v>390636.79999999999</v>
      </c>
      <c r="L74" s="80"/>
      <c r="M74" s="119">
        <f>SUM(M75:M75)</f>
        <v>390636.79999999999</v>
      </c>
      <c r="N74" s="120"/>
      <c r="O74" s="78">
        <f>SUM(O75:O75)</f>
        <v>390636.79999999999</v>
      </c>
      <c r="P74" s="82"/>
    </row>
    <row r="75" spans="2:16" ht="17.25" x14ac:dyDescent="0.25">
      <c r="B75" s="660"/>
      <c r="C75" s="656"/>
      <c r="D75" s="656"/>
      <c r="E75" s="656"/>
      <c r="F75" s="656"/>
      <c r="G75" s="576"/>
      <c r="H75" s="577"/>
      <c r="I75" s="98">
        <f>SUM(K75+M75+O75)</f>
        <v>1171910.3999999999</v>
      </c>
      <c r="J75" s="99" t="str">
        <f>"(55)"</f>
        <v>(55)</v>
      </c>
      <c r="K75" s="93">
        <f>'kuni 2025 detsember tegevuskava'!Z42</f>
        <v>390636.79999999999</v>
      </c>
      <c r="L75" s="85" t="str">
        <f>"(55)"</f>
        <v>(55)</v>
      </c>
      <c r="M75" s="98">
        <f>'kuni 2025 detsember tegevuskava'!AC42</f>
        <v>390636.79999999999</v>
      </c>
      <c r="N75" s="99" t="str">
        <f>"(55)"</f>
        <v>(55)</v>
      </c>
      <c r="O75" s="93">
        <f>'kuni 2025 detsember tegevuskava'!AF42</f>
        <v>390636.79999999999</v>
      </c>
      <c r="P75" s="87" t="str">
        <f>"(55)"</f>
        <v>(55)</v>
      </c>
    </row>
    <row r="76" spans="2:16" ht="17.25" x14ac:dyDescent="0.25">
      <c r="B76" s="660"/>
      <c r="C76" s="656"/>
      <c r="D76" s="656"/>
      <c r="E76" s="656"/>
      <c r="F76" s="656"/>
      <c r="G76" s="576"/>
      <c r="H76" s="577"/>
      <c r="I76" s="123" t="s">
        <v>584</v>
      </c>
      <c r="J76" s="8"/>
      <c r="K76" s="8"/>
      <c r="L76" s="8"/>
      <c r="M76" s="8"/>
      <c r="N76" s="8"/>
      <c r="O76" s="8"/>
      <c r="P76" s="140"/>
    </row>
    <row r="77" spans="2:16" ht="17.25" x14ac:dyDescent="0.25">
      <c r="B77" s="660"/>
      <c r="C77" s="656"/>
      <c r="D77" s="656"/>
      <c r="E77" s="656"/>
      <c r="F77" s="656"/>
      <c r="G77" s="576"/>
      <c r="H77" s="577"/>
      <c r="I77" s="94">
        <f>SUM(I78:I78)</f>
        <v>1421917.9519999998</v>
      </c>
      <c r="J77" s="95"/>
      <c r="K77" s="88">
        <f>SUM(K78:K78)</f>
        <v>468764.15999999997</v>
      </c>
      <c r="L77" s="89"/>
      <c r="M77" s="94">
        <f>SUM(M78:M78)</f>
        <v>476576.89599999995</v>
      </c>
      <c r="N77" s="101"/>
      <c r="O77" s="94">
        <f>SUM(O78:O78)</f>
        <v>476576.89599999995</v>
      </c>
      <c r="P77" s="121"/>
    </row>
    <row r="78" spans="2:16" ht="17.45" customHeight="1" thickBot="1" x14ac:dyDescent="0.3">
      <c r="B78" s="661"/>
      <c r="C78" s="657"/>
      <c r="D78" s="657"/>
      <c r="E78" s="657"/>
      <c r="F78" s="657"/>
      <c r="G78" s="576"/>
      <c r="H78" s="577"/>
      <c r="I78" s="96">
        <f>SUM(K78+M78+O78)</f>
        <v>1421917.9519999998</v>
      </c>
      <c r="J78" s="97" t="str">
        <f>"(55)"</f>
        <v>(55)</v>
      </c>
      <c r="K78" s="578">
        <f>SUM(K75*1.2)</f>
        <v>468764.15999999997</v>
      </c>
      <c r="L78" s="579" t="str">
        <f>"(55)"</f>
        <v>(55)</v>
      </c>
      <c r="M78" s="96">
        <f>SUM(M75*1.22)</f>
        <v>476576.89599999995</v>
      </c>
      <c r="N78" s="579" t="str">
        <f>"(55)"</f>
        <v>(55)</v>
      </c>
      <c r="O78" s="96">
        <f>SUM(O75*1.22)</f>
        <v>476576.89599999995</v>
      </c>
      <c r="P78" s="84" t="str">
        <f>"(55)"</f>
        <v>(55)</v>
      </c>
    </row>
    <row r="79" spans="2:16" ht="17.25" x14ac:dyDescent="0.25">
      <c r="B79" s="659" t="str">
        <f>'kuni 2025 detsember tegevuskava'!A43&amp;"/"&amp;'kuni 2025 detsember tegevuskava'!C43</f>
        <v>KuM/Eesti Rahvusraamatukogu</v>
      </c>
      <c r="C79" s="655" t="str">
        <f>'kuni 2025 detsember tegevuskava'!I43</f>
        <v>Eesti kultuuripärand on maailmas ainulaadne ning on oluline paljudele uurijaid ka välismaal, kahjuks on kasutusliides tehniliselt mahajäänud. Uus digitaalarhiivi kasutusliides võimaldab tuua kokku mitte ainult RaRa kogud, vaid pakkuda digitaalarhiivi teenust ka väiksematele mäluasutustele, mis omakorda hoiab kokku ressursse ja vähendab kogude killustatust. Digitaalarhiiv on kättesaadav kolmelt erinevalt kasutusliideselt, mis on kasutajale ebamugav ja halduse seisukohalt ebamõistlik. Kogude kättesaadavust piirab arhiiviülese otsingu puudumine ning keerukas kasutusliideste haldus (sh muudatuste tegemine). Uue digitaalarhiivi kasutusliidesega pakume kaasaegset ja paindlikku kasutajakogemust ning kogude leitavuse, kättesaadavuse ja taaskasutuse tõusu, mis saavutatakse peamiselt materjali IIIF raamistikku viimise abil.</v>
      </c>
      <c r="D79" s="655" t="str">
        <f>'kuni 2025 detsember tegevuskava'!J43</f>
        <v>RaRa uue digitaalarhiivi kasutajakeskkonna loomine </v>
      </c>
      <c r="E79" s="655" t="str">
        <f>'kuni 2025 detsember tegevuskava'!K43</f>
        <v>Tagatud on kasutajate eeldused ja ootused digitaalse kultuuripärandi kättesaadavusele. Kogude populaarsuse ja taaskasutuse tõus nii Eestis kui lähiriikides, kasutussessioonide tõus 15%. IIIF võimekus tagab kasutajatele ja teistele institutsioonidele paremad võimalused kogu ristkasutuseks ja rikastamiseks (sh välismaiste kogudega).
Võimekuse loomine väiksematele mäluasutustele kodulooliste ja temaatilistele kollektsioonide väljanäitamiseks.
Kasutuskoopiate kvaliteedi tõstmine ja metaandmete ühtlustamine, mis tagab sisu parema leitavuse ja veebiarhiivi materjali nähtavale toomise.
Ligipääsetavuse nõuetele vastav kasutuskeskkond.
Digihumanitaaridele kogude kasutamise võimekuse loomine.</v>
      </c>
      <c r="F79" s="655" t="str">
        <f>'kuni 2025 detsember tegevuskava'!P43&amp;"/"</f>
        <v>SF 21-27 (taotletav raha)/</v>
      </c>
      <c r="G79" s="580" cm="1">
        <f t="array" ref="G79">_xlfn.IFS('kuni 2025 detsember tegevuskava'!G43='kuni 2025 detsember tegevuskava'!$G$97,1,'kuni 2025 detsember tegevuskava'!G43='kuni 2025 detsember tegevuskava'!$G$98,2,'kuni 2025 detsember tegevuskava'!G43='kuni 2025 detsember tegevuskava'!$G$99,3,'kuni 2025 detsember tegevuskava'!G43='kuni 2025 detsember tegevuskava'!$G$100,4)</f>
        <v>1</v>
      </c>
      <c r="H79" s="164" cm="1">
        <f t="array" ref="H79">_xlfn.IFS(OR('kuni 2025 detsember tegevuskava'!P43='kuni 2025 detsember tegevuskava'!$P$97,'kuni 2025 detsember tegevuskava'!P43='kuni 2025 detsember tegevuskava'!$P$99,'kuni 2025 detsember tegevuskava'!P43='kuni 2025 detsember tegevuskava'!$P$100,'kuni 2025 detsember tegevuskava'!P43='kuni 2025 detsember tegevuskava'!$P$101),1,'kuni 2025 detsember tegevuskava'!P43='kuni 2025 detsember tegevuskava'!$P$102,2,'kuni 2025 detsember tegevuskava'!P43='kuni 2025 detsember tegevuskava'!$P$103,2,'kuni 2025 detsember tegevuskava'!P43='kuni 2025 detsember tegevuskava'!$P$98,3)</f>
        <v>2</v>
      </c>
      <c r="I79" s="119">
        <f>SUM(I80:I80)</f>
        <v>210000</v>
      </c>
      <c r="J79" s="120"/>
      <c r="K79" s="119">
        <f>SUM(K80:K80)</f>
        <v>0</v>
      </c>
      <c r="L79" s="152"/>
      <c r="M79" s="119">
        <f>SUM(M80:M80)</f>
        <v>210000</v>
      </c>
      <c r="N79" s="120"/>
      <c r="O79" s="119">
        <f>SUM(O80:O80)</f>
        <v>0</v>
      </c>
      <c r="P79" s="82"/>
    </row>
    <row r="80" spans="2:16" ht="17.25" x14ac:dyDescent="0.25">
      <c r="B80" s="660"/>
      <c r="C80" s="656"/>
      <c r="D80" s="656"/>
      <c r="E80" s="656"/>
      <c r="F80" s="656"/>
      <c r="G80" s="576"/>
      <c r="H80" s="577"/>
      <c r="I80" s="96">
        <f>SUM(K80+M80+O80)</f>
        <v>210000</v>
      </c>
      <c r="J80" s="97" t="str">
        <f>"(15)"</f>
        <v>(15)</v>
      </c>
      <c r="K80" s="98">
        <f>'kuni 2025 detsember tegevuskava'!X43</f>
        <v>0</v>
      </c>
      <c r="L80" s="99" t="str">
        <f>"(15)"</f>
        <v>(15)</v>
      </c>
      <c r="M80" s="96">
        <f>'kuni 2025 detsember tegevuskava'!AA43</f>
        <v>210000</v>
      </c>
      <c r="N80" s="97" t="str">
        <f>"(15)"</f>
        <v>(15)</v>
      </c>
      <c r="O80" s="98">
        <f>'kuni 2025 detsember tegevuskava'!AD43</f>
        <v>0</v>
      </c>
      <c r="P80" s="595" t="str">
        <f>"(15)"</f>
        <v>(15)</v>
      </c>
    </row>
    <row r="81" spans="2:16" ht="17.25" x14ac:dyDescent="0.25">
      <c r="B81" s="660"/>
      <c r="C81" s="656"/>
      <c r="D81" s="656"/>
      <c r="E81" s="656"/>
      <c r="F81" s="656"/>
      <c r="G81" s="576"/>
      <c r="H81" s="577"/>
      <c r="I81" s="316" t="s">
        <v>584</v>
      </c>
      <c r="J81" s="317"/>
      <c r="K81" s="596"/>
      <c r="L81" s="8"/>
      <c r="M81" s="159"/>
      <c r="N81" s="318"/>
      <c r="O81" s="8"/>
      <c r="P81" s="140"/>
    </row>
    <row r="82" spans="2:16" ht="17.25" x14ac:dyDescent="0.25">
      <c r="B82" s="660"/>
      <c r="C82" s="656"/>
      <c r="D82" s="656"/>
      <c r="E82" s="656"/>
      <c r="F82" s="656"/>
      <c r="G82" s="576"/>
      <c r="H82" s="577"/>
      <c r="I82" s="156">
        <f>SUM(I83:I83)</f>
        <v>256200</v>
      </c>
      <c r="J82" s="97"/>
      <c r="K82" s="574">
        <f>SUM(K83:K83)</f>
        <v>0</v>
      </c>
      <c r="L82" s="89"/>
      <c r="M82" s="156">
        <f>SUM(M83:M83)</f>
        <v>256200</v>
      </c>
      <c r="N82" s="146"/>
      <c r="O82" s="94">
        <f>SUM(O83:O83)</f>
        <v>0</v>
      </c>
      <c r="P82" s="121"/>
    </row>
    <row r="83" spans="2:16" ht="312.75" customHeight="1" thickBot="1" x14ac:dyDescent="0.3">
      <c r="B83" s="661"/>
      <c r="C83" s="657"/>
      <c r="D83" s="657"/>
      <c r="E83" s="657"/>
      <c r="F83" s="657"/>
      <c r="G83" s="576"/>
      <c r="H83" s="577"/>
      <c r="I83" s="96">
        <f>SUM(K83+M83+O83)</f>
        <v>256200</v>
      </c>
      <c r="J83" s="97" t="str">
        <f>"(15)"</f>
        <v>(15)</v>
      </c>
      <c r="K83" s="578">
        <f>SUM(K80*1.2)</f>
        <v>0</v>
      </c>
      <c r="L83" s="579" t="str">
        <f>"(15)"</f>
        <v>(15)</v>
      </c>
      <c r="M83" s="96">
        <f>SUM(M80*1.22)</f>
        <v>256200</v>
      </c>
      <c r="N83" s="97" t="str">
        <f>"(15)"</f>
        <v>(15)</v>
      </c>
      <c r="O83" s="96">
        <f>SUM(O80*1.22)</f>
        <v>0</v>
      </c>
      <c r="P83" s="84" t="str">
        <f>"(15)"</f>
        <v>(15)</v>
      </c>
    </row>
    <row r="84" spans="2:16" ht="17.25" x14ac:dyDescent="0.25">
      <c r="B84" s="659" t="str">
        <f>'kuni 2025 detsember tegevuskava'!A44&amp;"/"&amp;'kuni 2025 detsember tegevuskava'!C44</f>
        <v>KuM/Eesti Rahvusraamatukogu</v>
      </c>
      <c r="C84" s="655" t="str">
        <f>'kuni 2025 detsember tegevuskava'!I44</f>
        <v>Eesti kultuuripärand on maailmas ainulaadne ning on oluline paljudele uurijaid ka välismaal, kahjuks on kasutusliides tehniliselt mahajäänud. Uus digitaalarhiivi kasutusliides võimaldab tuua kokku mitte ainult RaRa kogud, vaid pakkuda digitaalarhiivi teenust ka väiksematele mäluasutustele, mis omakorda hoiab kokku ressursse ja vähendab kogude killustatust. Digitaalarhiiv on kättesaadav kolmelt erinevalt kasutusliideselt, mis on kasutajale ebamugav ja halduse seisukohalt ebamõistlik. Kogude kättesaadavust piirab arhiiviülese otsingu puudumine ning keerukas kasutusliideste haldus (sh muudatuste tegemine). Uue digitaalarhiivi kasutusliidesega pakume kaasaegset ja paindlikku kasutajakogemust ning kogude leitavuse, kättesaadavuse ja taaskasutuse tõusu, mis saavutatakse peamiselt materjali IIIF raamistikku viimise abil.</v>
      </c>
      <c r="D84" s="655" t="str">
        <f>'kuni 2025 detsember tegevuskava'!J44</f>
        <v>RaRa uue digitaalarhiivi kasutajakeskkonna loomine - ülalpidamiskulud</v>
      </c>
      <c r="E84" s="655" t="str">
        <f>'kuni 2025 detsember tegevuskava'!K44</f>
        <v>Tagatud on kasutajate eeldused ja ootused digitaalse kultuuripärandi kättesaadavusele. Kogude populaarsuse ja taaskasutuse tõus nii Eestis kui lähiriikides, kasutussessioonide tõus 15%. IIIF võimekus tagab kasutajatele ja teistele institutsioonidele paremad võimalused kogu ristkasutuseks ja rikastamiseks (sh välismaiste kogudega).
Võimekuse loomine väiksematele mäluasutustele kodulooliste ja temaatilistele kollektsioonide väljanäitamiseks.
Kasutuskoopiate kvaliteedi tõstmine ja metaandmete ühtlustamine, mis tagab sisu parema leitavuse ja veebiarhiivi materjali nähtavale toomise.
Ligipääsetavuse nõuetele vastav kasutuskeskkond.
Digihumanitaaridele kogude kasutamise võimekuse loomine.</v>
      </c>
      <c r="F84" s="655" t="str">
        <f>'kuni 2025 detsember tegevuskava'!P44&amp;"/"</f>
        <v>Baaseelarve/</v>
      </c>
      <c r="G84" s="580" cm="1">
        <f t="array" ref="G84">_xlfn.IFS('kuni 2025 detsember tegevuskava'!G44='kuni 2025 detsember tegevuskava'!$G$97,1,'kuni 2025 detsember tegevuskava'!G44='kuni 2025 detsember tegevuskava'!$G$98,2,'kuni 2025 detsember tegevuskava'!G44='kuni 2025 detsember tegevuskava'!$G$99,3,'kuni 2025 detsember tegevuskava'!G44='kuni 2025 detsember tegevuskava'!$G$100,4)</f>
        <v>2</v>
      </c>
      <c r="H84" s="164" cm="1">
        <f t="array" ref="H84">_xlfn.IFS(OR('kuni 2025 detsember tegevuskava'!P44='kuni 2025 detsember tegevuskava'!$P$97,'kuni 2025 detsember tegevuskava'!P44='kuni 2025 detsember tegevuskava'!$P$99,'kuni 2025 detsember tegevuskava'!P44='kuni 2025 detsember tegevuskava'!$P$100,'kuni 2025 detsember tegevuskava'!P44='kuni 2025 detsember tegevuskava'!$P$101),1,'kuni 2025 detsember tegevuskava'!P44='kuni 2025 detsember tegevuskava'!$P$102,2,'kuni 2025 detsember tegevuskava'!P44='kuni 2025 detsember tegevuskava'!$P$103,2,'kuni 2025 detsember tegevuskava'!P44='kuni 2025 detsember tegevuskava'!$P$98,3)</f>
        <v>1</v>
      </c>
      <c r="I84" s="119">
        <f>SUM(I85:I85)</f>
        <v>47000</v>
      </c>
      <c r="J84" s="120"/>
      <c r="K84" s="78">
        <f>SUM(K85:K85)</f>
        <v>0</v>
      </c>
      <c r="L84" s="80"/>
      <c r="M84" s="119">
        <f>SUM(M85:M85)</f>
        <v>0</v>
      </c>
      <c r="N84" s="120"/>
      <c r="O84" s="78">
        <f>SUM(O85:O85)</f>
        <v>47000</v>
      </c>
      <c r="P84" s="82"/>
    </row>
    <row r="85" spans="2:16" ht="17.25" x14ac:dyDescent="0.25">
      <c r="B85" s="660"/>
      <c r="C85" s="656"/>
      <c r="D85" s="656"/>
      <c r="E85" s="656"/>
      <c r="F85" s="656"/>
      <c r="G85" s="576"/>
      <c r="H85" s="577"/>
      <c r="I85" s="96">
        <f>SUM(K85+M85+O85)</f>
        <v>47000</v>
      </c>
      <c r="J85" s="99" t="str">
        <f>"(55)"</f>
        <v>(55)</v>
      </c>
      <c r="K85" s="93">
        <f>'kuni 2025 detsember tegevuskava'!Z44</f>
        <v>0</v>
      </c>
      <c r="L85" s="85" t="str">
        <f>"(55)"</f>
        <v>(55)</v>
      </c>
      <c r="M85" s="98">
        <f>'kuni 2025 detsember tegevuskava'!AC44</f>
        <v>0</v>
      </c>
      <c r="N85" s="99" t="str">
        <f>"(55)"</f>
        <v>(55)</v>
      </c>
      <c r="O85" s="93">
        <f>'kuni 2025 detsember tegevuskava'!AF44</f>
        <v>47000</v>
      </c>
      <c r="P85" s="87" t="str">
        <f>"(55)"</f>
        <v>(55)</v>
      </c>
    </row>
    <row r="86" spans="2:16" ht="17.25" x14ac:dyDescent="0.25">
      <c r="B86" s="660"/>
      <c r="C86" s="656"/>
      <c r="D86" s="656"/>
      <c r="E86" s="656"/>
      <c r="F86" s="656"/>
      <c r="G86" s="576"/>
      <c r="H86" s="577"/>
      <c r="I86" s="159" t="s">
        <v>584</v>
      </c>
      <c r="J86" s="8"/>
      <c r="K86" s="8"/>
      <c r="L86" s="8"/>
      <c r="M86" s="8"/>
      <c r="N86" s="8"/>
      <c r="O86" s="8"/>
      <c r="P86" s="140"/>
    </row>
    <row r="87" spans="2:16" ht="17.25" x14ac:dyDescent="0.25">
      <c r="B87" s="660"/>
      <c r="C87" s="656"/>
      <c r="D87" s="656"/>
      <c r="E87" s="656"/>
      <c r="F87" s="656"/>
      <c r="G87" s="576"/>
      <c r="H87" s="577"/>
      <c r="I87" s="156">
        <f>SUM(I88:I88)</f>
        <v>57340</v>
      </c>
      <c r="J87" s="95"/>
      <c r="K87" s="88">
        <f>SUM(K88:K88)</f>
        <v>0</v>
      </c>
      <c r="L87" s="89"/>
      <c r="M87" s="94">
        <f>SUM(M88:M88)</f>
        <v>0</v>
      </c>
      <c r="N87" s="100"/>
      <c r="O87" s="94">
        <f>SUM(O88:O88)</f>
        <v>57340</v>
      </c>
      <c r="P87" s="121"/>
    </row>
    <row r="88" spans="2:16" ht="319.5" customHeight="1" thickBot="1" x14ac:dyDescent="0.3">
      <c r="B88" s="661"/>
      <c r="C88" s="657"/>
      <c r="D88" s="657"/>
      <c r="E88" s="657"/>
      <c r="F88" s="657"/>
      <c r="G88" s="576"/>
      <c r="H88" s="577"/>
      <c r="I88" s="96">
        <f>SUM(K88+M88+O88)</f>
        <v>57340</v>
      </c>
      <c r="J88" s="97" t="str">
        <f>"(55)"</f>
        <v>(55)</v>
      </c>
      <c r="K88" s="578">
        <f>SUM(K85*1.2)</f>
        <v>0</v>
      </c>
      <c r="L88" s="579" t="str">
        <f>"(55)"</f>
        <v>(55)</v>
      </c>
      <c r="M88" s="96">
        <f>SUM(M85*1.22)</f>
        <v>0</v>
      </c>
      <c r="N88" s="97" t="str">
        <f>"(55)"</f>
        <v>(55)</v>
      </c>
      <c r="O88" s="96">
        <f>SUM(O85*1.22)</f>
        <v>57340</v>
      </c>
      <c r="P88" s="84" t="str">
        <f>"(55)"</f>
        <v>(55)</v>
      </c>
    </row>
    <row r="89" spans="2:16" ht="17.25" x14ac:dyDescent="0.25">
      <c r="B89" s="659" t="str">
        <f>'kuni 2025 detsember tegevuskava'!A45&amp;"/"&amp;'kuni 2025 detsember tegevuskava'!C45</f>
        <v>KuM/Eesti Rahvusraamatukogu</v>
      </c>
      <c r="C89" s="655" t="str">
        <f>'kuni 2025 detsember tegevuskava'!I45</f>
        <v>Raamatukogudel puudub tegevuste analüüsimiseks ja juhtimiseks ühtsetel põhimõtetel toimiv juhtimistöölaud, mis koondaks vajaliku andmestu Eesti raamatukogude võrgu kohta ning võimaldaks raamatukogudel efektiivselt ja operatiivselt andmeid koguda, töödelda ja vahetada, sh neid juhtimisotsuste tegemisel ja ka uute lugejatele suunatud teenuste pakkumisel kasutada. Olemasolev tegevusnäitajaid koondav keskkond on nii sisuliselt kui tehniliselt aegunud, nõuab mitmekordset käsitööd nii andmete kogumisel kui töötlemisel, liidestusvõimalused puuduvad, uute teenuste moodustamise nende baasil ei ole võimalik. Sarnase juhtimistöölaua vajadus on Kultuuriministeeriumi haldusalas laiemalt.</v>
      </c>
      <c r="D89" s="655" t="str">
        <f>'kuni 2025 detsember tegevuskava'!J45</f>
        <v>Üleriigiline teenus "Raamatukogude juhtimistöölaud" loomine*</v>
      </c>
      <c r="E89" s="655" t="str">
        <f>'kuni 2025 detsember tegevuskava'!K45</f>
        <v>Koostöös raamatukogudega on disainitud ootustele vastav, atraktiivne, kasutajasõbralik ja lihtne e-teenus, mis arvestab ka ligipääsetavuse nõuetega. 
Koostatud on raamatukogude juhtimistöölaua ja selles pakutavate teenuste kirjeldus, ärinõuded ja tehniline lahendus.
Juhtimistöölaud on kasutusele võetud. Selle funktsionaalsused on kaasaegsed ja vastavad ärilistele vajadustele. Loodud on API täiendavate teenuste ja funktsionaalsuste loomiseks.  Tehnoloogiline platvorm arendatakse põhimõttel, mis sobiks haldusala üleseks kasutamiseks ja laiendamiseks.</v>
      </c>
      <c r="F89" s="655" t="str">
        <f>'kuni 2025 detsember tegevuskava'!P45&amp;"/"</f>
        <v>SF 21-27 (taotletav raha)/</v>
      </c>
      <c r="G89" s="580" cm="1">
        <f t="array" ref="G89">_xlfn.IFS('kuni 2025 detsember tegevuskava'!G45='kuni 2025 detsember tegevuskava'!$G$97,1,'kuni 2025 detsember tegevuskava'!G45='kuni 2025 detsember tegevuskava'!$G$98,2,'kuni 2025 detsember tegevuskava'!G45='kuni 2025 detsember tegevuskava'!$G$99,3,'kuni 2025 detsember tegevuskava'!G45='kuni 2025 detsember tegevuskava'!$G$100,4)</f>
        <v>1</v>
      </c>
      <c r="H89" s="164" cm="1">
        <f t="array" ref="H89">_xlfn.IFS(OR('kuni 2025 detsember tegevuskava'!P45='kuni 2025 detsember tegevuskava'!$P$97,'kuni 2025 detsember tegevuskava'!P45='kuni 2025 detsember tegevuskava'!$P$99,'kuni 2025 detsember tegevuskava'!P45='kuni 2025 detsember tegevuskava'!$P$100,'kuni 2025 detsember tegevuskava'!P45='kuni 2025 detsember tegevuskava'!$P$101),1,'kuni 2025 detsember tegevuskava'!P45='kuni 2025 detsember tegevuskava'!$P$102,2,'kuni 2025 detsember tegevuskava'!P45='kuni 2025 detsember tegevuskava'!$P$103,2,'kuni 2025 detsember tegevuskava'!P45='kuni 2025 detsember tegevuskava'!$P$98,3)</f>
        <v>2</v>
      </c>
      <c r="I89" s="119">
        <f>SUM(I90:I90)</f>
        <v>300000</v>
      </c>
      <c r="J89" s="120"/>
      <c r="K89" s="78">
        <f>SUM(K90:K90)</f>
        <v>0</v>
      </c>
      <c r="L89" s="80"/>
      <c r="M89" s="119">
        <f>SUM(M90:M90)</f>
        <v>300000</v>
      </c>
      <c r="N89" s="120"/>
      <c r="O89" s="78">
        <f>SUM(O90:O90)</f>
        <v>0</v>
      </c>
      <c r="P89" s="82"/>
    </row>
    <row r="90" spans="2:16" ht="17.25" x14ac:dyDescent="0.25">
      <c r="B90" s="660"/>
      <c r="C90" s="656"/>
      <c r="D90" s="656"/>
      <c r="E90" s="656"/>
      <c r="F90" s="656"/>
      <c r="G90" s="576"/>
      <c r="H90" s="577"/>
      <c r="I90" s="96">
        <f>SUM(K90+M90+O90)</f>
        <v>300000</v>
      </c>
      <c r="J90" s="97" t="str">
        <f>"(15)"</f>
        <v>(15)</v>
      </c>
      <c r="K90" s="578">
        <f>'kuni 2025 detsember tegevuskava'!X45</f>
        <v>0</v>
      </c>
      <c r="L90" s="579" t="str">
        <f>"(15)"</f>
        <v>(15)</v>
      </c>
      <c r="M90" s="96">
        <f>'kuni 2025 detsember tegevuskava'!AA45</f>
        <v>300000</v>
      </c>
      <c r="N90" s="97" t="str">
        <f>"(15)"</f>
        <v>(15)</v>
      </c>
      <c r="O90" s="578">
        <f>'kuni 2025 detsember tegevuskava'!AD45</f>
        <v>0</v>
      </c>
      <c r="P90" s="84" t="str">
        <f>"(15)"</f>
        <v>(15)</v>
      </c>
    </row>
    <row r="91" spans="2:16" ht="17.25" x14ac:dyDescent="0.25">
      <c r="B91" s="660"/>
      <c r="C91" s="656"/>
      <c r="D91" s="656"/>
      <c r="E91" s="656"/>
      <c r="F91" s="656"/>
      <c r="G91" s="576"/>
      <c r="H91" s="577"/>
      <c r="I91" s="159" t="s">
        <v>584</v>
      </c>
      <c r="J91" s="318"/>
      <c r="K91" s="159"/>
      <c r="L91" s="318"/>
      <c r="M91" s="159"/>
      <c r="N91" s="318"/>
      <c r="O91" s="159"/>
      <c r="P91" s="166"/>
    </row>
    <row r="92" spans="2:16" ht="17.25" x14ac:dyDescent="0.25">
      <c r="B92" s="660"/>
      <c r="C92" s="656"/>
      <c r="D92" s="656"/>
      <c r="E92" s="656"/>
      <c r="F92" s="656"/>
      <c r="G92" s="576"/>
      <c r="H92" s="577"/>
      <c r="I92" s="156">
        <f>SUM(I93:I93)</f>
        <v>366000</v>
      </c>
      <c r="J92" s="95"/>
      <c r="K92" s="574">
        <f>SUM(K93:K93)</f>
        <v>0</v>
      </c>
      <c r="L92" s="575"/>
      <c r="M92" s="94">
        <f>SUM(M93:M93)</f>
        <v>366000</v>
      </c>
      <c r="N92" s="100"/>
      <c r="O92" s="94">
        <f>SUM(O93:O93)</f>
        <v>0</v>
      </c>
      <c r="P92" s="121"/>
    </row>
    <row r="93" spans="2:16" ht="224.25" customHeight="1" thickBot="1" x14ac:dyDescent="0.3">
      <c r="B93" s="661"/>
      <c r="C93" s="657"/>
      <c r="D93" s="657"/>
      <c r="E93" s="657"/>
      <c r="F93" s="657"/>
      <c r="G93" s="576"/>
      <c r="H93" s="577"/>
      <c r="I93" s="96">
        <f>SUM(K93+M93+O93)</f>
        <v>366000</v>
      </c>
      <c r="J93" s="97" t="str">
        <f>"(15)"</f>
        <v>(15)</v>
      </c>
      <c r="K93" s="578">
        <f>SUM(K90*1.2)</f>
        <v>0</v>
      </c>
      <c r="L93" s="579" t="str">
        <f>"(15)"</f>
        <v>(15)</v>
      </c>
      <c r="M93" s="96">
        <f>SUM(M90*1.22)</f>
        <v>366000</v>
      </c>
      <c r="N93" s="97" t="str">
        <f>"(15)"</f>
        <v>(15)</v>
      </c>
      <c r="O93" s="96">
        <f>SUM(O90*1.22)</f>
        <v>0</v>
      </c>
      <c r="P93" s="84" t="str">
        <f>"(15)"</f>
        <v>(15)</v>
      </c>
    </row>
    <row r="94" spans="2:16" ht="17.25" x14ac:dyDescent="0.25">
      <c r="B94" s="659" t="str">
        <f>'kuni 2025 detsember tegevuskava'!A46&amp;"/"&amp;'kuni 2025 detsember tegevuskava'!C46</f>
        <v>KuM/Eesti Rahvusraamatukogu</v>
      </c>
      <c r="C94" s="655" t="str">
        <f>'kuni 2025 detsember tegevuskava'!I46</f>
        <v>Raamatukogudel puudub tegevuste analüüsimiseks ja juhtimiseks ühtsetel põhimõtetel toimiv juhtimistöölaud, mis koondaks vajaliku andmestu Eesti raamatukogude võrgu kohta ning võimaldaks raamatukogudel efektiivselt ja operatiivselt andmeid koguda, töödelda ja vahetada, sh neid juhtimisotsuste tegemisel ja ka uute lugejatele suunatud teenuste pakkumisel kasutada. Olemasolev tegevusnäitajaid koondav keskkond on nii sisuliselt kui tehniliselt aegunud, nõuab mitmekordset käsitööd nii andmete kogumisel kui töötlemisel, liidestusvõimalused puuduvad, uute teenuste moodustamise nende baasil ei ole võimalik. Sarnase juhtimistöölaua vajadus on Kultuuriministeeriumi haldusalas laiemalt.</v>
      </c>
      <c r="D94" s="655" t="str">
        <f>'kuni 2025 detsember tegevuskava'!J46</f>
        <v>Üleriigiline teenus "Raamatukogude juhtimistöölaud" loomine - ülalpidamiskulud</v>
      </c>
      <c r="E94" s="655" t="str">
        <f>'kuni 2025 detsember tegevuskava'!K46</f>
        <v>Koostöös raamatukogudega on disainitud ootustele vastav, atraktiivne, kasutajasõbralik ja lihtne e-teenus, mis arvestab ka ligipääsetavuse nõuetega. 
Koostatud on raamatukogude juhtimistöölaua ja selles pakutavate teenuste kirjeldus, ärinõuded ja tehniline lahendus.
Juhtimistöölaud on kasutusele võetud. Selle funktsionaalsused on kaasaegsed ja vastavad ärilistele vajadustele. Loodud on API täiendavate teenuste ja funktsionaalsuste loomiseks.  Tehnoloogiline platvorm arendatakse põhimõttel, mis sobiks haldusala üleseks kasutamiseks ja laiendamiseks.</v>
      </c>
      <c r="F94" s="655" t="str">
        <f>'kuni 2025 detsember tegevuskava'!P46&amp;"/"</f>
        <v>Baaseelarve/</v>
      </c>
      <c r="G94" s="580" cm="1">
        <f t="array" ref="G94">_xlfn.IFS('kuni 2025 detsember tegevuskava'!G46='kuni 2025 detsember tegevuskava'!$G$97,1,'kuni 2025 detsember tegevuskava'!G46='kuni 2025 detsember tegevuskava'!$G$98,2,'kuni 2025 detsember tegevuskava'!G46='kuni 2025 detsember tegevuskava'!$G$99,3,'kuni 2025 detsember tegevuskava'!G46='kuni 2025 detsember tegevuskava'!$G$100,4)</f>
        <v>2</v>
      </c>
      <c r="H94" s="164" cm="1">
        <f t="array" ref="H94">_xlfn.IFS(OR('kuni 2025 detsember tegevuskava'!P46='kuni 2025 detsember tegevuskava'!$P$97,'kuni 2025 detsember tegevuskava'!P46='kuni 2025 detsember tegevuskava'!$P$99,'kuni 2025 detsember tegevuskava'!P46='kuni 2025 detsember tegevuskava'!$P$100,'kuni 2025 detsember tegevuskava'!P46='kuni 2025 detsember tegevuskava'!$P$101),1,'kuni 2025 detsember tegevuskava'!P46='kuni 2025 detsember tegevuskava'!$P$102,2,'kuni 2025 detsember tegevuskava'!P46='kuni 2025 detsember tegevuskava'!$P$103,2,'kuni 2025 detsember tegevuskava'!P46='kuni 2025 detsember tegevuskava'!$P$98,3)</f>
        <v>1</v>
      </c>
      <c r="I94" s="119">
        <f>SUM(I95:I96)</f>
        <v>73100</v>
      </c>
      <c r="J94" s="120"/>
      <c r="K94" s="78">
        <f>SUM(K95:K96)</f>
        <v>0</v>
      </c>
      <c r="L94" s="80"/>
      <c r="M94" s="119">
        <f>SUM(M95:M96)</f>
        <v>0</v>
      </c>
      <c r="N94" s="120"/>
      <c r="O94" s="78">
        <f>SUM(O95:O96)</f>
        <v>73100</v>
      </c>
      <c r="P94" s="82"/>
    </row>
    <row r="95" spans="2:16" ht="17.25" x14ac:dyDescent="0.25">
      <c r="B95" s="660"/>
      <c r="C95" s="656"/>
      <c r="D95" s="656"/>
      <c r="E95" s="656"/>
      <c r="F95" s="656"/>
      <c r="G95" s="576"/>
      <c r="H95" s="577"/>
      <c r="I95" s="96">
        <f>SUM(K95+M95+O95)</f>
        <v>25700</v>
      </c>
      <c r="J95" s="97" t="str">
        <f>"(50)"</f>
        <v>(50)</v>
      </c>
      <c r="K95" s="578">
        <f>'kuni 2025 detsember tegevuskava'!Y46</f>
        <v>0</v>
      </c>
      <c r="L95" s="579" t="str">
        <f>"(50)"</f>
        <v>(50)</v>
      </c>
      <c r="M95" s="96">
        <f>'kuni 2025 detsember tegevuskava'!AB46</f>
        <v>0</v>
      </c>
      <c r="N95" s="97" t="str">
        <f>"(50)"</f>
        <v>(50)</v>
      </c>
      <c r="O95" s="578">
        <f>'kuni 2025 detsember tegevuskava'!AE46</f>
        <v>25700</v>
      </c>
      <c r="P95" s="84" t="str">
        <f>"(50)"</f>
        <v>(50)</v>
      </c>
    </row>
    <row r="96" spans="2:16" ht="17.25" x14ac:dyDescent="0.25">
      <c r="B96" s="660"/>
      <c r="C96" s="656"/>
      <c r="D96" s="656"/>
      <c r="E96" s="656"/>
      <c r="F96" s="656"/>
      <c r="G96" s="576"/>
      <c r="H96" s="577"/>
      <c r="I96" s="96">
        <f>SUM(K96+M96+O96)</f>
        <v>47400</v>
      </c>
      <c r="J96" s="99" t="str">
        <f>"(55)"</f>
        <v>(55)</v>
      </c>
      <c r="K96" s="93">
        <f>'kuni 2025 detsember tegevuskava'!Z46</f>
        <v>0</v>
      </c>
      <c r="L96" s="85" t="str">
        <f>"(55)"</f>
        <v>(55)</v>
      </c>
      <c r="M96" s="98">
        <f>'kuni 2025 detsember tegevuskava'!AC46</f>
        <v>0</v>
      </c>
      <c r="N96" s="99" t="str">
        <f>"(55)"</f>
        <v>(55)</v>
      </c>
      <c r="O96" s="93">
        <f>'kuni 2025 detsember tegevuskava'!AF46</f>
        <v>47400</v>
      </c>
      <c r="P96" s="87" t="str">
        <f>"(55)"</f>
        <v>(55)</v>
      </c>
    </row>
    <row r="97" spans="2:16" ht="17.25" x14ac:dyDescent="0.25">
      <c r="B97" s="660"/>
      <c r="C97" s="656"/>
      <c r="D97" s="656"/>
      <c r="E97" s="656"/>
      <c r="F97" s="656"/>
      <c r="G97" s="576"/>
      <c r="H97" s="577"/>
      <c r="I97" s="159" t="s">
        <v>584</v>
      </c>
      <c r="J97" s="8"/>
      <c r="K97" s="8"/>
      <c r="L97" s="8"/>
      <c r="M97" s="8"/>
      <c r="N97" s="8"/>
      <c r="O97" s="8"/>
      <c r="P97" s="140"/>
    </row>
    <row r="98" spans="2:16" ht="17.25" x14ac:dyDescent="0.25">
      <c r="B98" s="660"/>
      <c r="C98" s="656"/>
      <c r="D98" s="656"/>
      <c r="E98" s="656"/>
      <c r="F98" s="656"/>
      <c r="G98" s="576"/>
      <c r="H98" s="577"/>
      <c r="I98" s="156">
        <f>SUM(I99:I100)</f>
        <v>83528</v>
      </c>
      <c r="J98" s="95"/>
      <c r="K98" s="88">
        <f>SUM(K99:K100)</f>
        <v>0</v>
      </c>
      <c r="L98" s="89"/>
      <c r="M98" s="94">
        <f>SUM(M99:M100)</f>
        <v>0</v>
      </c>
      <c r="N98" s="100"/>
      <c r="O98" s="94">
        <f>SUM(O99:O100)</f>
        <v>83528</v>
      </c>
      <c r="P98" s="121"/>
    </row>
    <row r="99" spans="2:16" ht="17.25" x14ac:dyDescent="0.25">
      <c r="B99" s="660"/>
      <c r="C99" s="656"/>
      <c r="D99" s="656"/>
      <c r="E99" s="656"/>
      <c r="F99" s="656"/>
      <c r="G99" s="576"/>
      <c r="H99" s="577"/>
      <c r="I99" s="96">
        <f>SUM(K99+M99+O99)</f>
        <v>25700</v>
      </c>
      <c r="J99" s="97" t="str">
        <f>"(50)"</f>
        <v>(50)</v>
      </c>
      <c r="K99" s="578">
        <f>K95</f>
        <v>0</v>
      </c>
      <c r="L99" s="579" t="str">
        <f>"(50)"</f>
        <v>(50)</v>
      </c>
      <c r="M99" s="96">
        <f>M95</f>
        <v>0</v>
      </c>
      <c r="N99" s="97" t="str">
        <f>"(50)"</f>
        <v>(50)</v>
      </c>
      <c r="O99" s="96">
        <f>O95</f>
        <v>25700</v>
      </c>
      <c r="P99" s="84" t="str">
        <f>"(50)"</f>
        <v>(50)</v>
      </c>
    </row>
    <row r="100" spans="2:16" ht="193.5" customHeight="1" thickBot="1" x14ac:dyDescent="0.3">
      <c r="B100" s="661"/>
      <c r="C100" s="657"/>
      <c r="D100" s="657"/>
      <c r="E100" s="657"/>
      <c r="F100" s="657"/>
      <c r="G100" s="576"/>
      <c r="H100" s="577"/>
      <c r="I100" s="96">
        <f>SUM(K100+M100+O100)</f>
        <v>57828</v>
      </c>
      <c r="J100" s="97" t="str">
        <f>"(55)"</f>
        <v>(55)</v>
      </c>
      <c r="K100" s="578">
        <f>SUM(K96*1.2)</f>
        <v>0</v>
      </c>
      <c r="L100" s="579" t="str">
        <f>"(55)"</f>
        <v>(55)</v>
      </c>
      <c r="M100" s="96">
        <f>SUM(M96*1.22)</f>
        <v>0</v>
      </c>
      <c r="N100" s="97" t="str">
        <f>"(55)"</f>
        <v>(55)</v>
      </c>
      <c r="O100" s="96">
        <f>SUM(O96*1.22)</f>
        <v>57828</v>
      </c>
      <c r="P100" s="84" t="str">
        <f>"(55)"</f>
        <v>(55)</v>
      </c>
    </row>
    <row r="101" spans="2:16" ht="17.25" x14ac:dyDescent="0.25">
      <c r="B101" s="659" t="str">
        <f>'kuni 2025 detsember tegevuskava'!A47&amp;"/"&amp;'kuni 2025 detsember tegevuskava'!C47</f>
        <v>KuM/Rahvusarhiiv</v>
      </c>
      <c r="C101" s="655" t="str">
        <f>'kuni 2025 detsember tegevuskava'!I47</f>
        <v>2023. aastaks on digitaalsena kättesaadav 3% dokumendipärandist ja 60% filmipärandist. Kasutajate jaoks on  pärandi kättesaadavus killustatud, digitaalse kultuuripärandi kättesaadavuse % pole piisav.</v>
      </c>
      <c r="D101" s="655" t="str">
        <f>'kuni 2025 detsember tegevuskava'!J47</f>
        <v>Dokumendi- ja filmipärandi digiteerimine*</v>
      </c>
      <c r="E101" s="655" t="str">
        <f>'kuni 2025 detsember tegevuskava'!K47</f>
        <v>55% Eesti mäluasutustes olevast kultuuripärandist on aastaks 2029 digitaalselt kättesaadav: dokumendid, trükised, esemed (3D), fotod, filmid, ehituspärand (3D). Projektid:  Suure kasutajatepoolse huviga kultuuriväärtusliku dokumendipärandi kättesaadavus on suurenenud. Nõukogude-aegsete loominguliste liitude, kultuuri-ja teadusasutuste arhiivid Kinnistuarhiivide kinnistusregistrid Riigikogu istungite videosalvestised 1999-2012 VHSidel</v>
      </c>
      <c r="F101" s="655" t="str">
        <f>'kuni 2025 detsember tegevuskava'!P47&amp;"/"</f>
        <v>SF 21-27 (taotletav raha)/</v>
      </c>
      <c r="G101" s="580" cm="1">
        <f t="array" ref="G101">_xlfn.IFS('kuni 2025 detsember tegevuskava'!G47='kuni 2025 detsember tegevuskava'!$G$97,1,'kuni 2025 detsember tegevuskava'!G47='kuni 2025 detsember tegevuskava'!$G$98,2,'kuni 2025 detsember tegevuskava'!G47='kuni 2025 detsember tegevuskava'!$G$99,3,'kuni 2025 detsember tegevuskava'!G47='kuni 2025 detsember tegevuskava'!$G$100,4)</f>
        <v>4</v>
      </c>
      <c r="H101" s="164" cm="1">
        <f t="array" ref="H101">_xlfn.IFS(OR('kuni 2025 detsember tegevuskava'!P47='kuni 2025 detsember tegevuskava'!$P$97,'kuni 2025 detsember tegevuskava'!P47='kuni 2025 detsember tegevuskava'!$P$99,'kuni 2025 detsember tegevuskava'!P47='kuni 2025 detsember tegevuskava'!$P$100,'kuni 2025 detsember tegevuskava'!P47='kuni 2025 detsember tegevuskava'!$P$101),1,'kuni 2025 detsember tegevuskava'!P47='kuni 2025 detsember tegevuskava'!$P$102,2,'kuni 2025 detsember tegevuskava'!P47='kuni 2025 detsember tegevuskava'!$P$103,2,'kuni 2025 detsember tegevuskava'!P47='kuni 2025 detsember tegevuskava'!$P$98,3)</f>
        <v>2</v>
      </c>
      <c r="I101" s="119">
        <f>SUM(I102:I102)</f>
        <v>1469800</v>
      </c>
      <c r="J101" s="120"/>
      <c r="K101" s="78">
        <f>SUM(K102:K102)</f>
        <v>141400</v>
      </c>
      <c r="L101" s="80"/>
      <c r="M101" s="119">
        <f>SUM(M102:M102)</f>
        <v>761400</v>
      </c>
      <c r="N101" s="120"/>
      <c r="O101" s="78">
        <f>SUM(O102:O102)</f>
        <v>567000</v>
      </c>
      <c r="P101" s="82"/>
    </row>
    <row r="102" spans="2:16" ht="17.25" x14ac:dyDescent="0.25">
      <c r="B102" s="660"/>
      <c r="C102" s="656"/>
      <c r="D102" s="656"/>
      <c r="E102" s="656"/>
      <c r="F102" s="656"/>
      <c r="G102" s="576"/>
      <c r="H102" s="577"/>
      <c r="I102" s="96">
        <f>SUM(K102+M102+O102)</f>
        <v>1469800</v>
      </c>
      <c r="J102" s="99" t="str">
        <f>"(55)"</f>
        <v>(55)</v>
      </c>
      <c r="K102" s="93">
        <f>'kuni 2025 detsember tegevuskava'!Z47</f>
        <v>141400</v>
      </c>
      <c r="L102" s="85" t="str">
        <f>"(55)"</f>
        <v>(55)</v>
      </c>
      <c r="M102" s="98">
        <f>'kuni 2025 detsember tegevuskava'!AC47</f>
        <v>761400</v>
      </c>
      <c r="N102" s="99" t="str">
        <f>"(55)"</f>
        <v>(55)</v>
      </c>
      <c r="O102" s="93">
        <f>'kuni 2025 detsember tegevuskava'!AF47</f>
        <v>567000</v>
      </c>
      <c r="P102" s="87" t="str">
        <f>"(55)"</f>
        <v>(55)</v>
      </c>
    </row>
    <row r="103" spans="2:16" ht="17.25" x14ac:dyDescent="0.25">
      <c r="B103" s="660"/>
      <c r="C103" s="656"/>
      <c r="D103" s="656"/>
      <c r="E103" s="656"/>
      <c r="F103" s="656"/>
      <c r="G103" s="576"/>
      <c r="H103" s="577"/>
      <c r="I103" s="159" t="s">
        <v>584</v>
      </c>
      <c r="J103" s="8"/>
      <c r="K103" s="8"/>
      <c r="L103" s="8"/>
      <c r="M103" s="8"/>
      <c r="N103" s="8"/>
      <c r="O103" s="8"/>
      <c r="P103" s="140"/>
    </row>
    <row r="104" spans="2:16" ht="17.25" x14ac:dyDescent="0.25">
      <c r="B104" s="660"/>
      <c r="C104" s="656"/>
      <c r="D104" s="656"/>
      <c r="E104" s="656"/>
      <c r="F104" s="656"/>
      <c r="G104" s="576"/>
      <c r="H104" s="577"/>
      <c r="I104" s="156">
        <f>SUM(I105:I105)</f>
        <v>1790328</v>
      </c>
      <c r="J104" s="95"/>
      <c r="K104" s="88">
        <f>SUM(K105:K105)</f>
        <v>169680</v>
      </c>
      <c r="L104" s="89"/>
      <c r="M104" s="94">
        <f>SUM(M105:M105)</f>
        <v>928908</v>
      </c>
      <c r="N104" s="100"/>
      <c r="O104" s="94">
        <f>SUM(O105:O105)</f>
        <v>691740</v>
      </c>
      <c r="P104" s="121"/>
    </row>
    <row r="105" spans="2:16" ht="162.75" customHeight="1" thickBot="1" x14ac:dyDescent="0.3">
      <c r="B105" s="661"/>
      <c r="C105" s="657"/>
      <c r="D105" s="657"/>
      <c r="E105" s="657"/>
      <c r="F105" s="657"/>
      <c r="G105" s="576"/>
      <c r="H105" s="577"/>
      <c r="I105" s="96">
        <f>SUM(K105+M105+O105)</f>
        <v>1790328</v>
      </c>
      <c r="J105" s="97" t="str">
        <f>"(55)"</f>
        <v>(55)</v>
      </c>
      <c r="K105" s="578">
        <f>SUM(K102*1.2)</f>
        <v>169680</v>
      </c>
      <c r="L105" s="579" t="str">
        <f>"(55)"</f>
        <v>(55)</v>
      </c>
      <c r="M105" s="96">
        <f>SUM(M102*1.22)</f>
        <v>928908</v>
      </c>
      <c r="N105" s="97" t="str">
        <f>"(55)"</f>
        <v>(55)</v>
      </c>
      <c r="O105" s="96">
        <f>SUM(O102*1.22)</f>
        <v>691740</v>
      </c>
      <c r="P105" s="84" t="str">
        <f>"(55)"</f>
        <v>(55)</v>
      </c>
    </row>
    <row r="106" spans="2:16" ht="17.25" x14ac:dyDescent="0.25">
      <c r="B106" s="659" t="str">
        <f>'kuni 2025 detsember tegevuskava'!A48&amp;"/"&amp;'kuni 2025 detsember tegevuskava'!C48</f>
        <v>KuM/Eesti Rahvusraamatukogu</v>
      </c>
      <c r="C106" s="655" t="str">
        <f>'kuni 2025 detsember tegevuskava'!I48</f>
        <v>2023. aastaks on digitaalsena kättesaadav 28% trükipärandist. Kasutajate jaoks on  pärandi kättesaadavus killustatud, digitaalse kultuuripärandi kättesaadavuse % pole piisav.</v>
      </c>
      <c r="D106" s="655" t="str">
        <f>'kuni 2025 detsember tegevuskava'!J48</f>
        <v>Trükipärandi digiteerimine*</v>
      </c>
      <c r="E106" s="655" t="str">
        <f>'kuni 2025 detsember tegevuskava'!K48</f>
        <v>55% Eesti mäluasutustes olevast kultuuripärandist on aastaks 2029 digitaalselt kättesaadav: dokumendid, trükised, esemed  (3D), fotod, filmid, ehituspärand (3D). Projekt: Väliseesti kirjandus (sh perioodika ja teaduslikud separaadid)</v>
      </c>
      <c r="F106" s="655" t="str">
        <f>'kuni 2025 detsember tegevuskava'!P48&amp;"/"</f>
        <v>SF 21-27 (taotletav raha)/</v>
      </c>
      <c r="G106" s="580" cm="1">
        <f t="array" ref="G106">_xlfn.IFS('kuni 2025 detsember tegevuskava'!G48='kuni 2025 detsember tegevuskava'!$G$97,1,'kuni 2025 detsember tegevuskava'!G48='kuni 2025 detsember tegevuskava'!$G$98,2,'kuni 2025 detsember tegevuskava'!G48='kuni 2025 detsember tegevuskava'!$G$99,3,'kuni 2025 detsember tegevuskava'!G48='kuni 2025 detsember tegevuskava'!$G$100,4)</f>
        <v>4</v>
      </c>
      <c r="H106" s="164" cm="1">
        <f t="array" ref="H106">_xlfn.IFS(OR('kuni 2025 detsember tegevuskava'!P48='kuni 2025 detsember tegevuskava'!$P$97,'kuni 2025 detsember tegevuskava'!P48='kuni 2025 detsember tegevuskava'!$P$99,'kuni 2025 detsember tegevuskava'!P48='kuni 2025 detsember tegevuskava'!$P$100,'kuni 2025 detsember tegevuskava'!P48='kuni 2025 detsember tegevuskava'!$P$101),1,'kuni 2025 detsember tegevuskava'!P48='kuni 2025 detsember tegevuskava'!$P$102,2,'kuni 2025 detsember tegevuskava'!P48='kuni 2025 detsember tegevuskava'!$P$103,2,'kuni 2025 detsember tegevuskava'!P48='kuni 2025 detsember tegevuskava'!$P$98,3)</f>
        <v>2</v>
      </c>
      <c r="I106" s="119">
        <f>SUM(I107:I107)</f>
        <v>550000</v>
      </c>
      <c r="J106" s="120"/>
      <c r="K106" s="78">
        <f>SUM(K107:K107)</f>
        <v>25000</v>
      </c>
      <c r="L106" s="80"/>
      <c r="M106" s="119">
        <f>SUM(M107:M107)</f>
        <v>275000</v>
      </c>
      <c r="N106" s="120"/>
      <c r="O106" s="78">
        <f>SUM(O107:O107)</f>
        <v>250000</v>
      </c>
      <c r="P106" s="82"/>
    </row>
    <row r="107" spans="2:16" ht="17.25" x14ac:dyDescent="0.25">
      <c r="B107" s="660"/>
      <c r="C107" s="656"/>
      <c r="D107" s="656"/>
      <c r="E107" s="656"/>
      <c r="F107" s="656"/>
      <c r="G107" s="576"/>
      <c r="H107" s="577"/>
      <c r="I107" s="96">
        <f>SUM(K107+M107+O107)</f>
        <v>550000</v>
      </c>
      <c r="J107" s="99" t="str">
        <f>"(55)"</f>
        <v>(55)</v>
      </c>
      <c r="K107" s="93">
        <f>'kuni 2025 detsember tegevuskava'!Z48</f>
        <v>25000</v>
      </c>
      <c r="L107" s="85" t="str">
        <f>"(55)"</f>
        <v>(55)</v>
      </c>
      <c r="M107" s="98">
        <f>'kuni 2025 detsember tegevuskava'!AC48</f>
        <v>275000</v>
      </c>
      <c r="N107" s="99" t="str">
        <f>"(55)"</f>
        <v>(55)</v>
      </c>
      <c r="O107" s="93">
        <f>'kuni 2025 detsember tegevuskava'!AF48</f>
        <v>250000</v>
      </c>
      <c r="P107" s="87" t="str">
        <f>"(55)"</f>
        <v>(55)</v>
      </c>
    </row>
    <row r="108" spans="2:16" ht="17.25" x14ac:dyDescent="0.25">
      <c r="B108" s="660"/>
      <c r="C108" s="656"/>
      <c r="D108" s="656"/>
      <c r="E108" s="656"/>
      <c r="F108" s="656"/>
      <c r="G108" s="576"/>
      <c r="H108" s="577"/>
      <c r="I108" s="159" t="s">
        <v>584</v>
      </c>
      <c r="J108" s="8"/>
      <c r="K108" s="8"/>
      <c r="L108" s="8"/>
      <c r="M108" s="8"/>
      <c r="N108" s="8"/>
      <c r="O108" s="8"/>
      <c r="P108" s="140"/>
    </row>
    <row r="109" spans="2:16" ht="17.25" x14ac:dyDescent="0.25">
      <c r="B109" s="660"/>
      <c r="C109" s="656"/>
      <c r="D109" s="656"/>
      <c r="E109" s="656"/>
      <c r="F109" s="656"/>
      <c r="G109" s="576"/>
      <c r="H109" s="577"/>
      <c r="I109" s="156">
        <f>SUM(I110:I110)</f>
        <v>670500</v>
      </c>
      <c r="J109" s="95"/>
      <c r="K109" s="88">
        <f>SUM(K110:K110)</f>
        <v>30000</v>
      </c>
      <c r="L109" s="89"/>
      <c r="M109" s="94">
        <f>SUM(M110:M110)</f>
        <v>335500</v>
      </c>
      <c r="N109" s="100"/>
      <c r="O109" s="94">
        <f>SUM(O110:O110)</f>
        <v>305000</v>
      </c>
      <c r="P109" s="121"/>
    </row>
    <row r="110" spans="2:16" ht="60" customHeight="1" thickBot="1" x14ac:dyDescent="0.3">
      <c r="B110" s="661"/>
      <c r="C110" s="657"/>
      <c r="D110" s="657"/>
      <c r="E110" s="657"/>
      <c r="F110" s="657"/>
      <c r="G110" s="576"/>
      <c r="H110" s="577"/>
      <c r="I110" s="96">
        <f>SUM(K110+M110+O110)</f>
        <v>670500</v>
      </c>
      <c r="J110" s="97" t="str">
        <f>"(55)"</f>
        <v>(55)</v>
      </c>
      <c r="K110" s="578">
        <f>SUM(K107*1.2)</f>
        <v>30000</v>
      </c>
      <c r="L110" s="579" t="str">
        <f>"(55)"</f>
        <v>(55)</v>
      </c>
      <c r="M110" s="96">
        <f>SUM(M107*1.22)</f>
        <v>335500</v>
      </c>
      <c r="N110" s="97" t="str">
        <f>"(55)"</f>
        <v>(55)</v>
      </c>
      <c r="O110" s="96">
        <f>SUM(O107*1.22)</f>
        <v>305000</v>
      </c>
      <c r="P110" s="84" t="str">
        <f>"(55)"</f>
        <v>(55)</v>
      </c>
    </row>
    <row r="111" spans="2:16" ht="17.25" x14ac:dyDescent="0.25">
      <c r="B111" s="659" t="str">
        <f>'kuni 2025 detsember tegevuskava'!A49&amp;"/"&amp;'kuni 2025 detsember tegevuskava'!C49</f>
        <v>KuM/Rahvusarhiiv, 
Eesti Rahvusraamatukogu, 
Rahusringhääling, RIT</v>
      </c>
      <c r="C111" s="655" t="str">
        <f>'kuni 2025 detsember tegevuskava'!I49</f>
        <v>Digitaalne kultuuripärand ei ole tagatud väljaspool Eesti riigi territooriumi</v>
      </c>
      <c r="D111" s="655" t="str">
        <f>'kuni 2025 detsember tegevuskava'!J49</f>
        <v>Digitaalse kultuuripärandi tagamiseks eelduste loomine</v>
      </c>
      <c r="E111" s="655" t="str">
        <f>'kuni 2025 detsember tegevuskava'!K49</f>
        <v>Digitaalne kultuuripärand on tagatud väljaspool Eesti riigi territooriumi</v>
      </c>
      <c r="F111" s="655" t="str">
        <f>'kuni 2025 detsember tegevuskava'!P49&amp;"/"</f>
        <v>Baaseelarve/</v>
      </c>
      <c r="G111" s="580" cm="1">
        <f t="array" ref="G111">_xlfn.IFS('kuni 2025 detsember tegevuskava'!G49='kuni 2025 detsember tegevuskava'!$G$97,1,'kuni 2025 detsember tegevuskava'!G49='kuni 2025 detsember tegevuskava'!$G$98,2,'kuni 2025 detsember tegevuskava'!G49='kuni 2025 detsember tegevuskava'!$G$99,3,'kuni 2025 detsember tegevuskava'!G49='kuni 2025 detsember tegevuskava'!$G$100,4)</f>
        <v>2</v>
      </c>
      <c r="H111" s="164" cm="1">
        <f t="array" ref="H111">_xlfn.IFS(OR('kuni 2025 detsember tegevuskava'!P49='kuni 2025 detsember tegevuskava'!$P$97,'kuni 2025 detsember tegevuskava'!P49='kuni 2025 detsember tegevuskava'!$P$99,'kuni 2025 detsember tegevuskava'!P49='kuni 2025 detsember tegevuskava'!$P$100,'kuni 2025 detsember tegevuskava'!P49='kuni 2025 detsember tegevuskava'!$P$101),1,'kuni 2025 detsember tegevuskava'!P49='kuni 2025 detsember tegevuskava'!$P$102,2,'kuni 2025 detsember tegevuskava'!P49='kuni 2025 detsember tegevuskava'!$P$103,2,'kuni 2025 detsember tegevuskava'!P49='kuni 2025 detsember tegevuskava'!$P$98,3)</f>
        <v>1</v>
      </c>
      <c r="I111" s="119">
        <f>SUM(I112:I112)</f>
        <v>275000</v>
      </c>
      <c r="J111" s="120"/>
      <c r="K111" s="78">
        <f>SUM(K112:K112)</f>
        <v>0</v>
      </c>
      <c r="L111" s="80"/>
      <c r="M111" s="119">
        <f>SUM(M112:M112)</f>
        <v>275000</v>
      </c>
      <c r="N111" s="120"/>
      <c r="O111" s="78">
        <f>SUM(O112:O112)</f>
        <v>0</v>
      </c>
      <c r="P111" s="82"/>
    </row>
    <row r="112" spans="2:16" ht="17.25" x14ac:dyDescent="0.25">
      <c r="B112" s="660"/>
      <c r="C112" s="656"/>
      <c r="D112" s="656"/>
      <c r="E112" s="656"/>
      <c r="F112" s="656"/>
      <c r="G112" s="576"/>
      <c r="H112" s="577"/>
      <c r="I112" s="96">
        <f>SUM(K112+M112+O112)</f>
        <v>275000</v>
      </c>
      <c r="J112" s="99" t="str">
        <f>"(55)"</f>
        <v>(55)</v>
      </c>
      <c r="K112" s="93">
        <f>'kuni 2025 detsember tegevuskava'!Z49</f>
        <v>0</v>
      </c>
      <c r="L112" s="85" t="str">
        <f>"(55)"</f>
        <v>(55)</v>
      </c>
      <c r="M112" s="98">
        <f>'kuni 2025 detsember tegevuskava'!AC48</f>
        <v>275000</v>
      </c>
      <c r="N112" s="99" t="str">
        <f>"(55)"</f>
        <v>(55)</v>
      </c>
      <c r="O112" s="93">
        <f>'kuni 2025 detsember tegevuskava'!AF49</f>
        <v>0</v>
      </c>
      <c r="P112" s="87" t="str">
        <f>"(55)"</f>
        <v>(55)</v>
      </c>
    </row>
    <row r="113" spans="2:16" ht="17.25" x14ac:dyDescent="0.25">
      <c r="B113" s="660"/>
      <c r="C113" s="656"/>
      <c r="D113" s="656"/>
      <c r="E113" s="656"/>
      <c r="F113" s="656"/>
      <c r="G113" s="576"/>
      <c r="H113" s="577"/>
      <c r="I113" s="159" t="s">
        <v>584</v>
      </c>
      <c r="J113" s="8"/>
      <c r="K113" s="8"/>
      <c r="L113" s="8"/>
      <c r="M113" s="8"/>
      <c r="N113" s="8"/>
      <c r="O113" s="8"/>
      <c r="P113" s="140"/>
    </row>
    <row r="114" spans="2:16" ht="17.25" x14ac:dyDescent="0.25">
      <c r="B114" s="660"/>
      <c r="C114" s="656"/>
      <c r="D114" s="656"/>
      <c r="E114" s="656"/>
      <c r="F114" s="656"/>
      <c r="G114" s="576"/>
      <c r="H114" s="577"/>
      <c r="I114" s="156">
        <f>SUM(I115:I115)</f>
        <v>335500</v>
      </c>
      <c r="J114" s="95"/>
      <c r="K114" s="88">
        <f>SUM(K115:K115)</f>
        <v>0</v>
      </c>
      <c r="L114" s="89"/>
      <c r="M114" s="94">
        <f>SUM(M115:M115)</f>
        <v>335500</v>
      </c>
      <c r="N114" s="100"/>
      <c r="O114" s="94">
        <f>SUM(O115:O115)</f>
        <v>0</v>
      </c>
      <c r="P114" s="121"/>
    </row>
    <row r="115" spans="2:16" ht="34.5" customHeight="1" thickBot="1" x14ac:dyDescent="0.3">
      <c r="B115" s="661"/>
      <c r="C115" s="657"/>
      <c r="D115" s="657"/>
      <c r="E115" s="657"/>
      <c r="F115" s="657"/>
      <c r="G115" s="576"/>
      <c r="H115" s="577"/>
      <c r="I115" s="96">
        <f>SUM(K115+M115+O115)</f>
        <v>335500</v>
      </c>
      <c r="J115" s="97" t="str">
        <f>"(55)"</f>
        <v>(55)</v>
      </c>
      <c r="K115" s="578">
        <f>SUM(K112*1.2)</f>
        <v>0</v>
      </c>
      <c r="L115" s="579" t="str">
        <f>"(55)"</f>
        <v>(55)</v>
      </c>
      <c r="M115" s="96">
        <f>SUM(M112*1.22)</f>
        <v>335500</v>
      </c>
      <c r="N115" s="97" t="str">
        <f>"(55)"</f>
        <v>(55)</v>
      </c>
      <c r="O115" s="96">
        <f>SUM(O112*1.22)</f>
        <v>0</v>
      </c>
      <c r="P115" s="84" t="str">
        <f>"(55)"</f>
        <v>(55)</v>
      </c>
    </row>
    <row r="116" spans="2:16" ht="17.25" x14ac:dyDescent="0.25">
      <c r="B116" s="659" t="str">
        <f>'kuni 2025 detsember tegevuskava'!A51&amp;"/"&amp;'kuni 2025 detsember tegevuskava'!C51</f>
        <v>KuM/Eesti Rahvusraamatukogu</v>
      </c>
      <c r="C116" s="655" t="str">
        <f>'kuni 2025 detsember tegevuskava'!I51</f>
        <v>Olemasolev vastuvõtulahendus Toru on seadistatud materjali edastama olemasolevasse digitaalarhiivi. Kuna Massdigiteerimise projekti 3.etapi ajaks on Rahvusraamatukogul uus digitaalarhiiv juurutatud, tuleks luua tehniline lahendus, mis edastab materjali uude digitaalarhiivi. Kuna objekti struktuur ja metaandmed ning liidestumine on uuel digitaalarhiivil erinevad olemasolevast, oleks vaja luua uus lahendus. Rahvusraamatukogu saab uue lahenduse loomisel kasutada ära oma kogemust praeguse lahendusega, mistõttu uus lahendus on eeldatavasti töökindlam ja jätkusuutlikum ning ei vaja manuaalset sekkumist protsessidesse.</v>
      </c>
      <c r="D116" s="655" t="str">
        <f>'kuni 2025 detsember tegevuskava'!J51</f>
        <v>Failide massloovutuse lahenduse arendus</v>
      </c>
      <c r="E116" s="655" t="str">
        <f>'kuni 2025 detsember tegevuskava'!K51</f>
        <v>Massdigiteerimise projekti käigus loodud digitaalsed objektid on edastatud Rahvusraamatukogu digitaalarhiivi ning neile on tagatud alatine ligipääs ja objektid on vastavalt nõuetele pikaajaliselt säilitatud. Loodud lahendus on jätkusuutlik ja ei vaja järgmiste massloovutusprojektide puhul uuendamist.</v>
      </c>
      <c r="F116" s="655" t="str">
        <f>'kuni 2025 detsember tegevuskava'!P51&amp;"/"</f>
        <v>SF 21-27 (taotletav raha)/</v>
      </c>
      <c r="G116" s="580" cm="1">
        <f t="array" ref="G116">_xlfn.IFS('kuni 2025 detsember tegevuskava'!G51='kuni 2025 detsember tegevuskava'!$G$97,1,'kuni 2025 detsember tegevuskava'!G51='kuni 2025 detsember tegevuskava'!$G$98,2,'kuni 2025 detsember tegevuskava'!G51='kuni 2025 detsember tegevuskava'!$G$99,3,'kuni 2025 detsember tegevuskava'!G51='kuni 2025 detsember tegevuskava'!$G$100,4)</f>
        <v>1</v>
      </c>
      <c r="H116" s="164" cm="1">
        <f t="array" ref="H116">_xlfn.IFS(OR('kuni 2025 detsember tegevuskava'!P51='kuni 2025 detsember tegevuskava'!$P$97,'kuni 2025 detsember tegevuskava'!P51='kuni 2025 detsember tegevuskava'!$P$99,'kuni 2025 detsember tegevuskava'!P51='kuni 2025 detsember tegevuskava'!$P$100,'kuni 2025 detsember tegevuskava'!P51='kuni 2025 detsember tegevuskava'!$P$101),1,'kuni 2025 detsember tegevuskava'!P51='kuni 2025 detsember tegevuskava'!$P$102,2,'kuni 2025 detsember tegevuskava'!P51='kuni 2025 detsember tegevuskava'!$P$103,2,'kuni 2025 detsember tegevuskava'!P51='kuni 2025 detsember tegevuskava'!$P$98,3)</f>
        <v>2</v>
      </c>
      <c r="I116" s="119">
        <f>SUM(I117:I117)</f>
        <v>200000</v>
      </c>
      <c r="J116" s="120"/>
      <c r="K116" s="119">
        <f>SUM(K117:K117)</f>
        <v>0</v>
      </c>
      <c r="L116" s="152"/>
      <c r="M116" s="119">
        <f>SUM(M117:M117)</f>
        <v>200000</v>
      </c>
      <c r="N116" s="120"/>
      <c r="O116" s="119">
        <f>SUM(O117:O117)</f>
        <v>0</v>
      </c>
      <c r="P116" s="82"/>
    </row>
    <row r="117" spans="2:16" ht="17.25" x14ac:dyDescent="0.25">
      <c r="B117" s="660"/>
      <c r="C117" s="656"/>
      <c r="D117" s="656"/>
      <c r="E117" s="656"/>
      <c r="F117" s="656"/>
      <c r="G117" s="576"/>
      <c r="H117" s="577"/>
      <c r="I117" s="98">
        <f>SUM(K117+M117+O117)</f>
        <v>200000</v>
      </c>
      <c r="J117" s="99" t="str">
        <f>"(15)"</f>
        <v>(15)</v>
      </c>
      <c r="K117" s="98">
        <f>'kuni 2025 detsember tegevuskava'!X51</f>
        <v>0</v>
      </c>
      <c r="L117" s="99" t="str">
        <f>"(15)"</f>
        <v>(15)</v>
      </c>
      <c r="M117" s="98">
        <f>'kuni 2025 detsember tegevuskava'!AA51</f>
        <v>200000</v>
      </c>
      <c r="N117" s="99" t="str">
        <f>"(15)"</f>
        <v>(15)</v>
      </c>
      <c r="O117" s="98">
        <f>'kuni 2025 detsember tegevuskava'!AD51</f>
        <v>0</v>
      </c>
      <c r="P117" s="595" t="str">
        <f>"(15)"</f>
        <v>(15)</v>
      </c>
    </row>
    <row r="118" spans="2:16" ht="17.25" x14ac:dyDescent="0.25">
      <c r="B118" s="660"/>
      <c r="C118" s="656"/>
      <c r="D118" s="656"/>
      <c r="E118" s="656"/>
      <c r="F118" s="656"/>
      <c r="G118" s="576"/>
      <c r="H118" s="577"/>
      <c r="I118" s="133" t="s">
        <v>584</v>
      </c>
      <c r="J118" s="8"/>
      <c r="K118" s="8"/>
      <c r="L118" s="8"/>
      <c r="M118" s="8"/>
      <c r="N118" s="8"/>
      <c r="O118" s="8"/>
      <c r="P118" s="140"/>
    </row>
    <row r="119" spans="2:16" ht="17.25" x14ac:dyDescent="0.25">
      <c r="B119" s="660"/>
      <c r="C119" s="656"/>
      <c r="D119" s="656"/>
      <c r="E119" s="656"/>
      <c r="F119" s="656"/>
      <c r="G119" s="576"/>
      <c r="H119" s="577"/>
      <c r="I119" s="94">
        <f>SUM(I120:I120)</f>
        <v>244000</v>
      </c>
      <c r="J119" s="95"/>
      <c r="K119" s="88">
        <f>SUM(K120:K120)</f>
        <v>0</v>
      </c>
      <c r="L119" s="89"/>
      <c r="M119" s="94">
        <f>SUM(M120:M120)</f>
        <v>244000</v>
      </c>
      <c r="N119" s="100"/>
      <c r="O119" s="94">
        <f>SUM(O120:O120)</f>
        <v>0</v>
      </c>
      <c r="P119" s="121"/>
    </row>
    <row r="120" spans="2:16" ht="165.75" customHeight="1" thickBot="1" x14ac:dyDescent="0.3">
      <c r="B120" s="661"/>
      <c r="C120" s="657"/>
      <c r="D120" s="657"/>
      <c r="E120" s="657"/>
      <c r="F120" s="657"/>
      <c r="G120" s="576"/>
      <c r="H120" s="577"/>
      <c r="I120" s="96">
        <f>SUM(K120+M120+O120)</f>
        <v>244000</v>
      </c>
      <c r="J120" s="97" t="str">
        <f>"(15)"</f>
        <v>(15)</v>
      </c>
      <c r="K120" s="578">
        <f>SUM(K117*1.2)</f>
        <v>0</v>
      </c>
      <c r="L120" s="579" t="str">
        <f>"(15)"</f>
        <v>(15)</v>
      </c>
      <c r="M120" s="96">
        <f>SUM(M117*1.22)</f>
        <v>244000</v>
      </c>
      <c r="N120" s="97" t="str">
        <f>"(15)"</f>
        <v>(15)</v>
      </c>
      <c r="O120" s="96">
        <f>SUM(O117*1.22)</f>
        <v>0</v>
      </c>
      <c r="P120" s="84" t="str">
        <f>"(15)"</f>
        <v>(15)</v>
      </c>
    </row>
    <row r="121" spans="2:16" ht="17.25" x14ac:dyDescent="0.25">
      <c r="B121" s="659" t="str">
        <f>'kuni 2025 detsember tegevuskava'!A52&amp;"/"&amp;'kuni 2025 detsember tegevuskava'!C52</f>
        <v>KuM/Eesti Rahvusraamatukogu</v>
      </c>
      <c r="C121" s="655" t="str">
        <f>'kuni 2025 detsember tegevuskava'!I52</f>
        <v>Olemasolev vastuvõtulahendus Toru on seadistatud materjali edastama olemasolevasse digitaalarhiivi. Kuna Massdigiteerimise projekti 3.etapi ajaks on Rahvusraamatukogul uus digitaalarhiiv juurutatud, tuleks luua tehniline lahendus, mis edastab materjali uude digitaalarhiivi. Kuna objekti struktuur ja metaandmed ning liidestumine on uuel digitaalarhiivil erinevad olemasolevast, oleks vaja luua uus lahendus. Rahvusraamatukogu saab uue lahenduse loomisel kasutada ära oma kogemust praeguse lahendusega, mistõttu uus lahendus on eeldatavasti töökindlam ja jätkusuutlikum ning ei vaja manuaalset sekkumist protsessidesse.</v>
      </c>
      <c r="D121" s="655" t="str">
        <f>'kuni 2025 detsember tegevuskava'!J52</f>
        <v>Failide massloovutuse lahenduse ülalpidamiskulud</v>
      </c>
      <c r="E121" s="655" t="str">
        <f>'kuni 2025 detsember tegevuskava'!K52</f>
        <v>Massdigiteerimise projekti käigus loodud digitaalsed objektid on edastatud Rahvusraamatukogu digitaalarhiivi ning neile on tagatud alatine ligipääs ja objektid on vastavalt nõuetele pikaajaliselt säilitatud. Loodud lahendus on jätkusuutlik ja ei vaja järgmiste massloovutusprojektide puhul uuendamist.</v>
      </c>
      <c r="F121" s="655" t="str">
        <f>'kuni 2025 detsember tegevuskava'!P52&amp;"/"</f>
        <v>Baaseelarve/</v>
      </c>
      <c r="G121" s="580" cm="1">
        <f t="array" ref="G121">_xlfn.IFS('kuni 2025 detsember tegevuskava'!G52='kuni 2025 detsember tegevuskava'!$G$97,1,'kuni 2025 detsember tegevuskava'!G52='kuni 2025 detsember tegevuskava'!$G$98,2,'kuni 2025 detsember tegevuskava'!G52='kuni 2025 detsember tegevuskava'!$G$99,3,'kuni 2025 detsember tegevuskava'!G52='kuni 2025 detsember tegevuskava'!$G$100,4)</f>
        <v>2</v>
      </c>
      <c r="H121" s="164" cm="1">
        <f t="array" ref="H121">_xlfn.IFS(OR('kuni 2025 detsember tegevuskava'!P52='kuni 2025 detsember tegevuskava'!$P$97,'kuni 2025 detsember tegevuskava'!P52='kuni 2025 detsember tegevuskava'!$P$99,'kuni 2025 detsember tegevuskava'!P52='kuni 2025 detsember tegevuskava'!$P$100,'kuni 2025 detsember tegevuskava'!P52='kuni 2025 detsember tegevuskava'!$P$101),1,'kuni 2025 detsember tegevuskava'!P52='kuni 2025 detsember tegevuskava'!$P$102,2,'kuni 2025 detsember tegevuskava'!P52='kuni 2025 detsember tegevuskava'!$P$103,2,'kuni 2025 detsember tegevuskava'!P52='kuni 2025 detsember tegevuskava'!$P$98,3)</f>
        <v>1</v>
      </c>
      <c r="I121" s="119">
        <f>SUM(I122:I123)</f>
        <v>105000</v>
      </c>
      <c r="J121" s="120"/>
      <c r="K121" s="78">
        <f>SUM(K122:K123)</f>
        <v>0</v>
      </c>
      <c r="L121" s="80"/>
      <c r="M121" s="119">
        <f>SUM(M122:M123)</f>
        <v>0</v>
      </c>
      <c r="N121" s="120"/>
      <c r="O121" s="78">
        <f>SUM(O122:O123)</f>
        <v>105000</v>
      </c>
      <c r="P121" s="82"/>
    </row>
    <row r="122" spans="2:16" ht="17.25" x14ac:dyDescent="0.25">
      <c r="B122" s="660"/>
      <c r="C122" s="656"/>
      <c r="D122" s="656"/>
      <c r="E122" s="656"/>
      <c r="F122" s="656"/>
      <c r="G122" s="576"/>
      <c r="H122" s="577"/>
      <c r="I122" s="96">
        <f>SUM(K122+M122+O122)</f>
        <v>45000</v>
      </c>
      <c r="J122" s="97" t="str">
        <f>"(50)"</f>
        <v>(50)</v>
      </c>
      <c r="K122" s="578">
        <f>'kuni 2025 detsember tegevuskava'!Y52</f>
        <v>0</v>
      </c>
      <c r="L122" s="579" t="str">
        <f>"(50)"</f>
        <v>(50)</v>
      </c>
      <c r="M122" s="96">
        <f>'kuni 2025 detsember tegevuskava'!AB52</f>
        <v>0</v>
      </c>
      <c r="N122" s="97" t="str">
        <f>"(50)"</f>
        <v>(50)</v>
      </c>
      <c r="O122" s="578">
        <f>'kuni 2025 detsember tegevuskava'!AE52</f>
        <v>45000</v>
      </c>
      <c r="P122" s="84" t="str">
        <f>"(50)"</f>
        <v>(50)</v>
      </c>
    </row>
    <row r="123" spans="2:16" ht="17.25" x14ac:dyDescent="0.25">
      <c r="B123" s="660"/>
      <c r="C123" s="656"/>
      <c r="D123" s="656"/>
      <c r="E123" s="656"/>
      <c r="F123" s="656"/>
      <c r="G123" s="576"/>
      <c r="H123" s="577"/>
      <c r="I123" s="98">
        <f>SUM(K123+M123+O123)</f>
        <v>60000</v>
      </c>
      <c r="J123" s="99" t="str">
        <f>"(55)"</f>
        <v>(55)</v>
      </c>
      <c r="K123" s="93">
        <f>'kuni 2025 detsember tegevuskava'!Z52</f>
        <v>0</v>
      </c>
      <c r="L123" s="85" t="str">
        <f>"(55)"</f>
        <v>(55)</v>
      </c>
      <c r="M123" s="98">
        <f>'kuni 2025 detsember tegevuskava'!AC52</f>
        <v>0</v>
      </c>
      <c r="N123" s="99" t="str">
        <f>"(55)"</f>
        <v>(55)</v>
      </c>
      <c r="O123" s="93">
        <f>'kuni 2025 detsember tegevuskava'!AF52</f>
        <v>60000</v>
      </c>
      <c r="P123" s="87" t="str">
        <f>"(55)"</f>
        <v>(55)</v>
      </c>
    </row>
    <row r="124" spans="2:16" ht="17.25" x14ac:dyDescent="0.25">
      <c r="B124" s="660"/>
      <c r="C124" s="656"/>
      <c r="D124" s="656"/>
      <c r="E124" s="656"/>
      <c r="F124" s="656"/>
      <c r="G124" s="576"/>
      <c r="H124" s="577"/>
      <c r="I124" s="133" t="s">
        <v>584</v>
      </c>
      <c r="J124" s="8"/>
      <c r="K124" s="8"/>
      <c r="L124" s="8"/>
      <c r="M124" s="8"/>
      <c r="N124" s="8"/>
      <c r="O124" s="8"/>
      <c r="P124" s="140"/>
    </row>
    <row r="125" spans="2:16" ht="18" thickBot="1" x14ac:dyDescent="0.3">
      <c r="B125" s="660"/>
      <c r="C125" s="656"/>
      <c r="D125" s="656"/>
      <c r="E125" s="656"/>
      <c r="F125" s="656"/>
      <c r="G125" s="576"/>
      <c r="H125" s="577"/>
      <c r="I125" s="94">
        <f>SUM(I126:I127)</f>
        <v>118200</v>
      </c>
      <c r="J125" s="95"/>
      <c r="K125" s="88">
        <f>SUM(K126:K127)</f>
        <v>0</v>
      </c>
      <c r="L125" s="89"/>
      <c r="M125" s="94">
        <f>SUM(M126:M127)</f>
        <v>0</v>
      </c>
      <c r="N125" s="100"/>
      <c r="O125" s="94">
        <f>SUM(O126:O127)</f>
        <v>118200</v>
      </c>
      <c r="P125" s="121"/>
    </row>
    <row r="126" spans="2:16" ht="18" thickBot="1" x14ac:dyDescent="0.3">
      <c r="B126" s="660"/>
      <c r="C126" s="656"/>
      <c r="D126" s="656"/>
      <c r="E126" s="656"/>
      <c r="F126" s="656"/>
      <c r="G126" s="576"/>
      <c r="H126" s="577"/>
      <c r="I126" s="96">
        <f>SUM(K126+M126+O126)</f>
        <v>45000</v>
      </c>
      <c r="J126" s="97" t="str">
        <f>"(50)"</f>
        <v>(50)</v>
      </c>
      <c r="K126" s="578">
        <f>K122</f>
        <v>0</v>
      </c>
      <c r="L126" s="160" t="str">
        <f>"(50)"</f>
        <v>(50)</v>
      </c>
      <c r="M126" s="578">
        <f>M122</f>
        <v>0</v>
      </c>
      <c r="N126" s="97" t="str">
        <f>"(50)"</f>
        <v>(50)</v>
      </c>
      <c r="O126" s="96">
        <f>O122</f>
        <v>45000</v>
      </c>
      <c r="P126" s="84" t="str">
        <f>"(50)"</f>
        <v>(50)</v>
      </c>
    </row>
    <row r="127" spans="2:16" ht="124.5" customHeight="1" thickBot="1" x14ac:dyDescent="0.3">
      <c r="B127" s="661"/>
      <c r="C127" s="657"/>
      <c r="D127" s="657"/>
      <c r="E127" s="657"/>
      <c r="F127" s="657"/>
      <c r="G127" s="576"/>
      <c r="H127" s="577"/>
      <c r="I127" s="96">
        <f>SUM(K127+M127+O127)</f>
        <v>73200</v>
      </c>
      <c r="J127" s="97" t="str">
        <f>"(55)"</f>
        <v>(55)</v>
      </c>
      <c r="K127" s="578">
        <f>SUM(K123*1.2)</f>
        <v>0</v>
      </c>
      <c r="L127" s="579" t="str">
        <f>"(55)"</f>
        <v>(55)</v>
      </c>
      <c r="M127" s="96">
        <f>SUM(M123*1.22)</f>
        <v>0</v>
      </c>
      <c r="N127" s="97" t="str">
        <f>"(55)"</f>
        <v>(55)</v>
      </c>
      <c r="O127" s="96">
        <f>SUM(O123*1.22)</f>
        <v>73200</v>
      </c>
      <c r="P127" s="84" t="str">
        <f>"(55)"</f>
        <v>(55)</v>
      </c>
    </row>
    <row r="128" spans="2:16" ht="17.25" x14ac:dyDescent="0.25">
      <c r="B128" s="659" t="str">
        <f>'kuni 2025 detsember tegevuskava'!A53&amp;"/"&amp;'kuni 2025 detsember tegevuskava'!C53</f>
        <v>KuM/Eesti Rahvusraamatukogu</v>
      </c>
      <c r="C128" s="655" t="str">
        <f>'kuni 2025 detsember tegevuskava'!I53</f>
        <v xml:space="preserve">Hetkel on kasutusel kolm erinevat raamatukogu süsteemi, teenus on killustunud, dubleeriv ja kallis, ega vasta kasutajate ootustele. </v>
      </c>
      <c r="D128" s="655" t="str">
        <f>'kuni 2025 detsember tegevuskava'!J53</f>
        <v>Uus raamatukogusüsteem detailanalüüs</v>
      </c>
      <c r="E128" s="655" t="str">
        <f>'kuni 2025 detsember tegevuskava'!K53</f>
        <v>Detailanalüüsi tulemusel selgub, milline uus raamatukogusüsteem oleks kõige otstarbekam soetada, arendusprojekti maksumus ja täpsem ajakava koos tegevustega.</v>
      </c>
      <c r="F128" s="655" t="str">
        <f>'kuni 2025 detsember tegevuskava'!P53&amp;"/"</f>
        <v>Baaseelarve/</v>
      </c>
      <c r="G128" s="580" cm="1">
        <f t="array" ref="G128">_xlfn.IFS('kuni 2025 detsember tegevuskava'!G53='kuni 2025 detsember tegevuskava'!$G$97,1,'kuni 2025 detsember tegevuskava'!G53='kuni 2025 detsember tegevuskava'!$G$98,2,'kuni 2025 detsember tegevuskava'!G53='kuni 2025 detsember tegevuskava'!$G$99,3,'kuni 2025 detsember tegevuskava'!G53='kuni 2025 detsember tegevuskava'!$G$100,4)</f>
        <v>1</v>
      </c>
      <c r="H128" s="164" cm="1">
        <f t="array" ref="H128">_xlfn.IFS(OR('kuni 2025 detsember tegevuskava'!P53='kuni 2025 detsember tegevuskava'!$P$97,'kuni 2025 detsember tegevuskava'!P53='kuni 2025 detsember tegevuskava'!$P$99,'kuni 2025 detsember tegevuskava'!P53='kuni 2025 detsember tegevuskava'!$P$100,'kuni 2025 detsember tegevuskava'!P53='kuni 2025 detsember tegevuskava'!$P$101),1,'kuni 2025 detsember tegevuskava'!P53='kuni 2025 detsember tegevuskava'!$P$102,2,'kuni 2025 detsember tegevuskava'!P53='kuni 2025 detsember tegevuskava'!$P$103,2,'kuni 2025 detsember tegevuskava'!P53='kuni 2025 detsember tegevuskava'!$P$98,3)</f>
        <v>1</v>
      </c>
      <c r="I128" s="119">
        <f>SUM(I129:I129)</f>
        <v>100000</v>
      </c>
      <c r="J128" s="120"/>
      <c r="K128" s="119">
        <f>SUM(K129:K129)</f>
        <v>100000</v>
      </c>
      <c r="L128" s="152"/>
      <c r="M128" s="119">
        <f>SUM(M129:M129)</f>
        <v>0</v>
      </c>
      <c r="N128" s="120"/>
      <c r="O128" s="119">
        <f>SUM(O129:O129)</f>
        <v>0</v>
      </c>
      <c r="P128" s="82"/>
    </row>
    <row r="129" spans="2:16" ht="17.25" x14ac:dyDescent="0.25">
      <c r="B129" s="660"/>
      <c r="C129" s="656"/>
      <c r="D129" s="656"/>
      <c r="E129" s="656"/>
      <c r="F129" s="656"/>
      <c r="G129" s="576"/>
      <c r="H129" s="577"/>
      <c r="I129" s="98">
        <f>SUM(K129+M129+O129)</f>
        <v>100000</v>
      </c>
      <c r="J129" s="99" t="str">
        <f>"(50)"</f>
        <v>(50)</v>
      </c>
      <c r="K129" s="98">
        <f>'kuni 2025 detsember tegevuskava'!Y53</f>
        <v>100000</v>
      </c>
      <c r="L129" s="99" t="str">
        <f>"(50)"</f>
        <v>(50)</v>
      </c>
      <c r="M129" s="98">
        <f>'kuni 2025 detsember tegevuskava'!AB53</f>
        <v>0</v>
      </c>
      <c r="N129" s="99" t="str">
        <f>"(50)"</f>
        <v>(50)</v>
      </c>
      <c r="O129" s="98">
        <f>'kuni 2025 detsember tegevuskava'!AE53</f>
        <v>0</v>
      </c>
      <c r="P129" s="595" t="str">
        <f>"(50)"</f>
        <v>(50)</v>
      </c>
    </row>
    <row r="130" spans="2:16" ht="17.25" x14ac:dyDescent="0.25">
      <c r="B130" s="660"/>
      <c r="C130" s="656"/>
      <c r="D130" s="656"/>
      <c r="E130" s="656"/>
      <c r="F130" s="656"/>
      <c r="G130" s="576"/>
      <c r="H130" s="577"/>
      <c r="I130" s="133" t="s">
        <v>584</v>
      </c>
      <c r="J130" s="8"/>
      <c r="K130" s="8"/>
      <c r="L130" s="8"/>
      <c r="M130" s="8"/>
      <c r="N130" s="8"/>
      <c r="O130" s="8"/>
      <c r="P130" s="140"/>
    </row>
    <row r="131" spans="2:16" ht="17.25" x14ac:dyDescent="0.25">
      <c r="B131" s="660"/>
      <c r="C131" s="656"/>
      <c r="D131" s="656"/>
      <c r="E131" s="656"/>
      <c r="F131" s="656"/>
      <c r="G131" s="576"/>
      <c r="H131" s="577"/>
      <c r="I131" s="94">
        <f>SUM(I132:I132)</f>
        <v>100000</v>
      </c>
      <c r="J131" s="95"/>
      <c r="K131" s="88">
        <f>SUM(K132:K132)</f>
        <v>100000</v>
      </c>
      <c r="L131" s="89"/>
      <c r="M131" s="94">
        <f>SUM(M132:M132)</f>
        <v>0</v>
      </c>
      <c r="N131" s="100"/>
      <c r="O131" s="94">
        <f>SUM(O132:O132)</f>
        <v>0</v>
      </c>
      <c r="P131" s="121"/>
    </row>
    <row r="132" spans="2:16" ht="18" customHeight="1" thickBot="1" x14ac:dyDescent="0.3">
      <c r="B132" s="661"/>
      <c r="C132" s="657"/>
      <c r="D132" s="657"/>
      <c r="E132" s="657"/>
      <c r="F132" s="657"/>
      <c r="G132" s="576"/>
      <c r="H132" s="577"/>
      <c r="I132" s="96">
        <f>SUM(K132+M132+O132)</f>
        <v>100000</v>
      </c>
      <c r="J132" s="97" t="str">
        <f>"(50)"</f>
        <v>(50)</v>
      </c>
      <c r="K132" s="578">
        <f>K129</f>
        <v>100000</v>
      </c>
      <c r="L132" s="579" t="str">
        <f>"(50)"</f>
        <v>(50)</v>
      </c>
      <c r="M132" s="96">
        <f>M129</f>
        <v>0</v>
      </c>
      <c r="N132" s="97" t="str">
        <f>"(50)"</f>
        <v>(50)</v>
      </c>
      <c r="O132" s="96">
        <f>O129</f>
        <v>0</v>
      </c>
      <c r="P132" s="84" t="str">
        <f>"(50)"</f>
        <v>(50)</v>
      </c>
    </row>
    <row r="133" spans="2:16" ht="17.25" x14ac:dyDescent="0.25">
      <c r="B133" s="659" t="str">
        <f>'kuni 2025 detsember tegevuskava'!A55&amp;"/"&amp;'kuni 2025 detsember tegevuskava'!C55</f>
        <v>KuM/Spordikoolituse ja -Teabe SA</v>
      </c>
      <c r="C133" s="655" t="str">
        <f>'kuni 2025 detsember tegevuskava'!I55</f>
        <v>Spordiregistri jätkusuutlik arendamine ja ajakohasena hoidmine</v>
      </c>
      <c r="D133" s="655" t="str">
        <f>'kuni 2025 detsember tegevuskava'!J55</f>
        <v>Eesti spordiregistri (ESR) väikearendused</v>
      </c>
      <c r="E133" s="655" t="str">
        <f>'kuni 2025 detsember tegevuskava'!K55</f>
        <v>Spordiregister on jätkusuutlikult arendatud ja ajakohane. Eesti spordiregistri (ESR) administreerimiskeskkonna (sh andmete kogumise poole) kaasajastamine; ESR tulemuste alamandmekogu kolimine; Pilootprojekt treenerite tööjõukulude toetuse sidumiseks KOV pearaha süsteemidega</v>
      </c>
      <c r="F133" s="655" t="str">
        <f>'kuni 2025 detsember tegevuskava'!P55&amp;"/"</f>
        <v>Baaseelarve/</v>
      </c>
      <c r="G133" s="580" cm="1">
        <f t="array" ref="G133">_xlfn.IFS('kuni 2025 detsember tegevuskava'!G55='kuni 2025 detsember tegevuskava'!$G$97,1,'kuni 2025 detsember tegevuskava'!G55='kuni 2025 detsember tegevuskava'!$G$98,2,'kuni 2025 detsember tegevuskava'!G55='kuni 2025 detsember tegevuskava'!$G$99,3,'kuni 2025 detsember tegevuskava'!G55='kuni 2025 detsember tegevuskava'!$G$100,4)</f>
        <v>1</v>
      </c>
      <c r="H133" s="164" cm="1">
        <f t="array" ref="H133">_xlfn.IFS(OR('kuni 2025 detsember tegevuskava'!P55='kuni 2025 detsember tegevuskava'!$P$97,'kuni 2025 detsember tegevuskava'!P55='kuni 2025 detsember tegevuskava'!$P$99,'kuni 2025 detsember tegevuskava'!P55='kuni 2025 detsember tegevuskava'!$P$100,'kuni 2025 detsember tegevuskava'!P55='kuni 2025 detsember tegevuskava'!$P$101),1,'kuni 2025 detsember tegevuskava'!P55='kuni 2025 detsember tegevuskava'!$P$102,2,'kuni 2025 detsember tegevuskava'!P55='kuni 2025 detsember tegevuskava'!$P$103,2,'kuni 2025 detsember tegevuskava'!P55='kuni 2025 detsember tegevuskava'!$P$98,3)</f>
        <v>1</v>
      </c>
      <c r="I133" s="119">
        <f>SUM(I134:I134)</f>
        <v>189000</v>
      </c>
      <c r="J133" s="120"/>
      <c r="K133" s="78">
        <f>SUM(K134:K134)</f>
        <v>63000</v>
      </c>
      <c r="L133" s="80"/>
      <c r="M133" s="119">
        <f>SUM(M134:M134)</f>
        <v>63000</v>
      </c>
      <c r="N133" s="120"/>
      <c r="O133" s="78">
        <f>SUM(O134:O134)</f>
        <v>63000</v>
      </c>
      <c r="P133" s="82"/>
    </row>
    <row r="134" spans="2:16" ht="17.25" x14ac:dyDescent="0.25">
      <c r="B134" s="660"/>
      <c r="C134" s="656"/>
      <c r="D134" s="656"/>
      <c r="E134" s="656"/>
      <c r="F134" s="656"/>
      <c r="G134" s="576"/>
      <c r="H134" s="577"/>
      <c r="I134" s="96">
        <f>SUM(K134+M134+O134)</f>
        <v>189000</v>
      </c>
      <c r="J134" s="99" t="str">
        <f>"(55)"</f>
        <v>(55)</v>
      </c>
      <c r="K134" s="93">
        <f>'kuni 2025 detsember tegevuskava'!Z55</f>
        <v>63000</v>
      </c>
      <c r="L134" s="85" t="str">
        <f>"(55)"</f>
        <v>(55)</v>
      </c>
      <c r="M134" s="98">
        <f>'kuni 2025 detsember tegevuskava'!AC55</f>
        <v>63000</v>
      </c>
      <c r="N134" s="99" t="str">
        <f>"(55)"</f>
        <v>(55)</v>
      </c>
      <c r="O134" s="93">
        <f>'kuni 2025 detsember tegevuskava'!AF55</f>
        <v>63000</v>
      </c>
      <c r="P134" s="87" t="str">
        <f>"(55)"</f>
        <v>(55)</v>
      </c>
    </row>
    <row r="135" spans="2:16" ht="17.25" x14ac:dyDescent="0.25">
      <c r="B135" s="660"/>
      <c r="C135" s="656"/>
      <c r="D135" s="656"/>
      <c r="E135" s="656"/>
      <c r="F135" s="656"/>
      <c r="G135" s="576"/>
      <c r="H135" s="577"/>
      <c r="I135" s="159" t="s">
        <v>584</v>
      </c>
      <c r="J135" s="8"/>
      <c r="K135" s="8"/>
      <c r="L135" s="8"/>
      <c r="M135" s="8"/>
      <c r="N135" s="8"/>
      <c r="O135" s="8"/>
      <c r="P135" s="140"/>
    </row>
    <row r="136" spans="2:16" ht="17.25" x14ac:dyDescent="0.25">
      <c r="B136" s="660"/>
      <c r="C136" s="656"/>
      <c r="D136" s="656"/>
      <c r="E136" s="656"/>
      <c r="F136" s="656"/>
      <c r="G136" s="576"/>
      <c r="H136" s="577"/>
      <c r="I136" s="156">
        <f>SUM(I137:I137)</f>
        <v>229320</v>
      </c>
      <c r="J136" s="95"/>
      <c r="K136" s="88">
        <f>SUM(K137:K137)</f>
        <v>75600</v>
      </c>
      <c r="L136" s="89"/>
      <c r="M136" s="94">
        <f>SUM(M137:M137)</f>
        <v>76860</v>
      </c>
      <c r="N136" s="100"/>
      <c r="O136" s="94">
        <f>SUM(O137:O137)</f>
        <v>76860</v>
      </c>
      <c r="P136" s="121"/>
    </row>
    <row r="137" spans="2:16" ht="87" customHeight="1" thickBot="1" x14ac:dyDescent="0.3">
      <c r="B137" s="661"/>
      <c r="C137" s="657"/>
      <c r="D137" s="657"/>
      <c r="E137" s="657"/>
      <c r="F137" s="657"/>
      <c r="G137" s="576"/>
      <c r="H137" s="577"/>
      <c r="I137" s="96">
        <f>SUM(K137+M137+O137)</f>
        <v>229320</v>
      </c>
      <c r="J137" s="97" t="str">
        <f>"(55)"</f>
        <v>(55)</v>
      </c>
      <c r="K137" s="578">
        <f>SUM(K134*1.2)</f>
        <v>75600</v>
      </c>
      <c r="L137" s="579" t="str">
        <f>"(55)"</f>
        <v>(55)</v>
      </c>
      <c r="M137" s="96">
        <f>SUM(M134*1.22)</f>
        <v>76860</v>
      </c>
      <c r="N137" s="97" t="str">
        <f>"(55)"</f>
        <v>(55)</v>
      </c>
      <c r="O137" s="96">
        <f>SUM(O134*1.22)</f>
        <v>76860</v>
      </c>
      <c r="P137" s="84" t="str">
        <f>"(55)"</f>
        <v>(55)</v>
      </c>
    </row>
    <row r="138" spans="2:16" ht="17.25" x14ac:dyDescent="0.25">
      <c r="B138" s="659" t="str">
        <f>'kuni 2025 detsember tegevuskava'!A57&amp;"/"&amp;'kuni 2025 detsember tegevuskava'!C57</f>
        <v>KuM/Kultuurileht</v>
      </c>
      <c r="C138" s="655" t="str">
        <f>'kuni 2025 detsember tegevuskava'!I57</f>
        <v>Kultuurilehe veeb on vananenud ega vasta kasutajate ootustele. 2023.a viidi läbi "Tervikliku veebilahenduse analüüs ja prototüüpide loomine"</v>
      </c>
      <c r="D138" s="655" t="str">
        <f>'kuni 2025 detsember tegevuskava'!J57</f>
        <v>SA Kultuurileht - Tervikliku veebilahenduse arendamine</v>
      </c>
      <c r="E138" s="655" t="str">
        <f>'kuni 2025 detsember tegevuskava'!K57</f>
        <v>Välja on arendatud ja tootestatud Kultuurilehe uus terviklik veebilahendus vastavalt 2023.a läbiviidud analüüsile.</v>
      </c>
      <c r="F138" s="655" t="str">
        <f>'kuni 2025 detsember tegevuskava'!P57&amp;"/"</f>
        <v>Baaseelarve/</v>
      </c>
      <c r="G138" s="580" cm="1">
        <f t="array" ref="G138">_xlfn.IFS('kuni 2025 detsember tegevuskava'!G57='kuni 2025 detsember tegevuskava'!$G$97,1,'kuni 2025 detsember tegevuskava'!G57='kuni 2025 detsember tegevuskava'!$G$98,2,'kuni 2025 detsember tegevuskava'!G57='kuni 2025 detsember tegevuskava'!$G$99,3,'kuni 2025 detsember tegevuskava'!G57='kuni 2025 detsember tegevuskava'!$G$100,4)</f>
        <v>1</v>
      </c>
      <c r="H138" s="164" cm="1">
        <f t="array" ref="H138">_xlfn.IFS(OR('kuni 2025 detsember tegevuskava'!P57='kuni 2025 detsember tegevuskava'!$P$97,'kuni 2025 detsember tegevuskava'!P57='kuni 2025 detsember tegevuskava'!$P$99,'kuni 2025 detsember tegevuskava'!P57='kuni 2025 detsember tegevuskava'!$P$100,'kuni 2025 detsember tegevuskava'!P57='kuni 2025 detsember tegevuskava'!$P$101),1,'kuni 2025 detsember tegevuskava'!P57='kuni 2025 detsember tegevuskava'!$P$102,2,'kuni 2025 detsember tegevuskava'!P57='kuni 2025 detsember tegevuskava'!$P$103,2,'kuni 2025 detsember tegevuskava'!P57='kuni 2025 detsember tegevuskava'!$P$98,3)</f>
        <v>1</v>
      </c>
      <c r="I138" s="119">
        <f>SUM(I139:I139)</f>
        <v>200000</v>
      </c>
      <c r="J138" s="120"/>
      <c r="K138" s="119">
        <f>SUM(K139:K139)</f>
        <v>0</v>
      </c>
      <c r="L138" s="152"/>
      <c r="M138" s="119">
        <f>SUM(M139:M139)</f>
        <v>200000</v>
      </c>
      <c r="N138" s="120"/>
      <c r="O138" s="119">
        <f>SUM(O139:O139)</f>
        <v>0</v>
      </c>
      <c r="P138" s="82"/>
    </row>
    <row r="139" spans="2:16" ht="17.25" x14ac:dyDescent="0.25">
      <c r="B139" s="660"/>
      <c r="C139" s="656"/>
      <c r="D139" s="656"/>
      <c r="E139" s="656"/>
      <c r="F139" s="656"/>
      <c r="G139" s="576"/>
      <c r="H139" s="577"/>
      <c r="I139" s="98">
        <f>SUM(K139+M139+O139)</f>
        <v>200000</v>
      </c>
      <c r="J139" s="99" t="str">
        <f>"(15)"</f>
        <v>(15)</v>
      </c>
      <c r="K139" s="98">
        <f>'kuni 2025 detsember tegevuskava'!X57</f>
        <v>0</v>
      </c>
      <c r="L139" s="99" t="str">
        <f>"(15)"</f>
        <v>(15)</v>
      </c>
      <c r="M139" s="98">
        <f>'kuni 2025 detsember tegevuskava'!AA57</f>
        <v>200000</v>
      </c>
      <c r="N139" s="99" t="str">
        <f>"(15)"</f>
        <v>(15)</v>
      </c>
      <c r="O139" s="98">
        <f>'kuni 2025 detsember tegevuskava'!AD57</f>
        <v>0</v>
      </c>
      <c r="P139" s="595" t="str">
        <f>"(15)"</f>
        <v>(15)</v>
      </c>
    </row>
    <row r="140" spans="2:16" ht="17.25" x14ac:dyDescent="0.25">
      <c r="B140" s="660"/>
      <c r="C140" s="656"/>
      <c r="D140" s="656"/>
      <c r="E140" s="656"/>
      <c r="F140" s="656"/>
      <c r="G140" s="576"/>
      <c r="H140" s="577"/>
      <c r="I140" s="134" t="s">
        <v>584</v>
      </c>
      <c r="J140" s="8"/>
      <c r="K140" s="8"/>
      <c r="L140" s="8"/>
      <c r="M140" s="8"/>
      <c r="N140" s="8"/>
      <c r="O140" s="8"/>
      <c r="P140" s="140"/>
    </row>
    <row r="141" spans="2:16" ht="17.25" x14ac:dyDescent="0.25">
      <c r="B141" s="660"/>
      <c r="C141" s="656"/>
      <c r="D141" s="656"/>
      <c r="E141" s="656"/>
      <c r="F141" s="656"/>
      <c r="G141" s="576"/>
      <c r="H141" s="577"/>
      <c r="I141" s="156">
        <f>SUM(I142:I142)</f>
        <v>244000</v>
      </c>
      <c r="J141" s="95"/>
      <c r="K141" s="88">
        <f>SUM(K142:K142)</f>
        <v>0</v>
      </c>
      <c r="L141" s="89"/>
      <c r="M141" s="94">
        <f>SUM(M142:M142)</f>
        <v>244000</v>
      </c>
      <c r="N141" s="100"/>
      <c r="O141" s="94">
        <f>SUM(O142:O142)</f>
        <v>0</v>
      </c>
      <c r="P141" s="121"/>
    </row>
    <row r="142" spans="2:16" ht="17.100000000000001" customHeight="1" thickBot="1" x14ac:dyDescent="0.3">
      <c r="B142" s="661"/>
      <c r="C142" s="657"/>
      <c r="D142" s="657"/>
      <c r="E142" s="657"/>
      <c r="F142" s="657"/>
      <c r="G142" s="576"/>
      <c r="H142" s="577"/>
      <c r="I142" s="96">
        <f>SUM(K142+M142+O142)</f>
        <v>244000</v>
      </c>
      <c r="J142" s="97" t="str">
        <f>"(15)"</f>
        <v>(15)</v>
      </c>
      <c r="K142" s="578">
        <f>SUM(K139*1.2)</f>
        <v>0</v>
      </c>
      <c r="L142" s="579" t="str">
        <f>"(15)"</f>
        <v>(15)</v>
      </c>
      <c r="M142" s="96">
        <f>SUM(M139*1.22)</f>
        <v>244000</v>
      </c>
      <c r="N142" s="97" t="str">
        <f>"(15)"</f>
        <v>(15)</v>
      </c>
      <c r="O142" s="96">
        <f>SUM(O139*1.22)</f>
        <v>0</v>
      </c>
      <c r="P142" s="84" t="str">
        <f>"(15)"</f>
        <v>(15)</v>
      </c>
    </row>
    <row r="143" spans="2:16" ht="17.25" x14ac:dyDescent="0.25">
      <c r="B143" s="659" t="str">
        <f>'kuni 2025 detsember tegevuskava'!A58&amp;"/"&amp;'kuni 2025 detsember tegevuskava'!C58</f>
        <v>KuM/Kultuuriministeerium</v>
      </c>
      <c r="C143" s="655" t="str">
        <f>'kuni 2025 detsember tegevuskava'!I58</f>
        <v xml:space="preserve">Kultuuriministeeriumis puudub piisav võimekus andmehalduse strateegia ja tegevuskava loomiseks ja rakendamiseks. </v>
      </c>
      <c r="D143" s="655" t="str">
        <f>'kuni 2025 detsember tegevuskava'!J58</f>
        <v>KuM haldusala digivõimekuse tõstmine</v>
      </c>
      <c r="E143" s="655" t="str">
        <f>'kuni 2025 detsember tegevuskava'!K58</f>
        <v xml:space="preserve">Luuakse andmehalduse peaekspert ametikohht KuM-i struktuuri. Andmehalduse tegevuskava on 2023.a jooksul loodud ja alustatakse rakendamisega. </v>
      </c>
      <c r="F143" s="655" t="str">
        <f>'kuni 2025 detsember tegevuskava'!P58&amp;"/"</f>
        <v>SF 21-27 (taotletav raha)/</v>
      </c>
      <c r="G143" s="580" cm="1">
        <f t="array" ref="G143">_xlfn.IFS('kuni 2025 detsember tegevuskava'!G58='kuni 2025 detsember tegevuskava'!$G$97,1,'kuni 2025 detsember tegevuskava'!G58='kuni 2025 detsember tegevuskava'!$G$98,2,'kuni 2025 detsember tegevuskava'!G58='kuni 2025 detsember tegevuskava'!$G$99,3,'kuni 2025 detsember tegevuskava'!G58='kuni 2025 detsember tegevuskava'!$G$100,4)</f>
        <v>1</v>
      </c>
      <c r="H143" s="164" cm="1">
        <f t="array" ref="H143">_xlfn.IFS(OR('kuni 2025 detsember tegevuskava'!P58='kuni 2025 detsember tegevuskava'!$P$97,'kuni 2025 detsember tegevuskava'!P58='kuni 2025 detsember tegevuskava'!$P$99,'kuni 2025 detsember tegevuskava'!P58='kuni 2025 detsember tegevuskava'!$P$100,'kuni 2025 detsember tegevuskava'!P58='kuni 2025 detsember tegevuskava'!$P$101),1,'kuni 2025 detsember tegevuskava'!P58='kuni 2025 detsember tegevuskava'!$P$102,2,'kuni 2025 detsember tegevuskava'!P58='kuni 2025 detsember tegevuskava'!$P$103,2,'kuni 2025 detsember tegevuskava'!P58='kuni 2025 detsember tegevuskava'!$P$98,3)</f>
        <v>2</v>
      </c>
      <c r="I143" s="119">
        <f>SUM(I144:I144)</f>
        <v>145600</v>
      </c>
      <c r="J143" s="120"/>
      <c r="K143" s="119">
        <f>SUM(K144:K144)</f>
        <v>28000</v>
      </c>
      <c r="L143" s="152"/>
      <c r="M143" s="119">
        <f>SUM(M144:M144)</f>
        <v>58800</v>
      </c>
      <c r="N143" s="120"/>
      <c r="O143" s="119">
        <f>SUM(O144:O144)</f>
        <v>58800</v>
      </c>
      <c r="P143" s="82"/>
    </row>
    <row r="144" spans="2:16" ht="17.25" x14ac:dyDescent="0.25">
      <c r="B144" s="660"/>
      <c r="C144" s="656"/>
      <c r="D144" s="656"/>
      <c r="E144" s="656"/>
      <c r="F144" s="656"/>
      <c r="G144" s="576"/>
      <c r="H144" s="577"/>
      <c r="I144" s="98">
        <f>SUM(K144+M144+O144)</f>
        <v>145600</v>
      </c>
      <c r="J144" s="99" t="str">
        <f>"(50)"</f>
        <v>(50)</v>
      </c>
      <c r="K144" s="98">
        <f>'kuni 2025 detsember tegevuskava'!Y58</f>
        <v>28000</v>
      </c>
      <c r="L144" s="99" t="str">
        <f>"(50)"</f>
        <v>(50)</v>
      </c>
      <c r="M144" s="98">
        <f>'kuni 2025 detsember tegevuskava'!AB58</f>
        <v>58800</v>
      </c>
      <c r="N144" s="99" t="str">
        <f>"(50)"</f>
        <v>(50)</v>
      </c>
      <c r="O144" s="98">
        <f>'kuni 2025 detsember tegevuskava'!AE58</f>
        <v>58800</v>
      </c>
      <c r="P144" s="595" t="str">
        <f>"(50)"</f>
        <v>(50)</v>
      </c>
    </row>
    <row r="145" spans="2:16" ht="17.25" x14ac:dyDescent="0.25">
      <c r="B145" s="660"/>
      <c r="C145" s="656"/>
      <c r="D145" s="656"/>
      <c r="E145" s="656"/>
      <c r="F145" s="656"/>
      <c r="G145" s="576"/>
      <c r="H145" s="577"/>
      <c r="I145" s="134" t="s">
        <v>584</v>
      </c>
      <c r="J145" s="8"/>
      <c r="K145" s="8"/>
      <c r="L145" s="8"/>
      <c r="M145" s="8"/>
      <c r="N145" s="8"/>
      <c r="O145" s="8"/>
      <c r="P145" s="140"/>
    </row>
    <row r="146" spans="2:16" ht="17.25" x14ac:dyDescent="0.25">
      <c r="B146" s="660"/>
      <c r="C146" s="656"/>
      <c r="D146" s="656"/>
      <c r="E146" s="656"/>
      <c r="F146" s="656"/>
      <c r="G146" s="576"/>
      <c r="H146" s="577"/>
      <c r="I146" s="94">
        <f>SUM(I147:I147)</f>
        <v>145600</v>
      </c>
      <c r="J146" s="95"/>
      <c r="K146" s="88">
        <f>SUM(K147:K147)</f>
        <v>28000</v>
      </c>
      <c r="L146" s="89"/>
      <c r="M146" s="94">
        <f>SUM(M147:M147)</f>
        <v>58800</v>
      </c>
      <c r="N146" s="100"/>
      <c r="O146" s="94">
        <f>SUM(O147:O147)</f>
        <v>58800</v>
      </c>
      <c r="P146" s="121"/>
    </row>
    <row r="147" spans="2:16" ht="18.95" customHeight="1" thickBot="1" x14ac:dyDescent="0.3">
      <c r="B147" s="661"/>
      <c r="C147" s="657"/>
      <c r="D147" s="657"/>
      <c r="E147" s="657"/>
      <c r="F147" s="657"/>
      <c r="G147" s="576"/>
      <c r="H147" s="577"/>
      <c r="I147" s="96">
        <f>SUM(K147+M147+O147)</f>
        <v>145600</v>
      </c>
      <c r="J147" s="97" t="str">
        <f>"(50)"</f>
        <v>(50)</v>
      </c>
      <c r="K147" s="578">
        <f>K144</f>
        <v>28000</v>
      </c>
      <c r="L147" s="579" t="str">
        <f>"(50)"</f>
        <v>(50)</v>
      </c>
      <c r="M147" s="96">
        <f>M144</f>
        <v>58800</v>
      </c>
      <c r="N147" s="97" t="str">
        <f>"(50)"</f>
        <v>(50)</v>
      </c>
      <c r="O147" s="96">
        <f>O144</f>
        <v>58800</v>
      </c>
      <c r="P147" s="84" t="str">
        <f>"(50)"</f>
        <v>(50)</v>
      </c>
    </row>
    <row r="148" spans="2:16" ht="17.25" x14ac:dyDescent="0.25">
      <c r="B148" s="659" t="str">
        <f>'kuni 2025 detsember tegevuskava'!A59&amp;"/"&amp;'kuni 2025 detsember tegevuskava'!C59</f>
        <v>KuM/Eesti Rahvusraamatukogu</v>
      </c>
      <c r="C148" s="655" t="str">
        <f>'kuni 2025 detsember tegevuskava'!I59</f>
        <v>RaRa-s puudub piisav võimekus infoturbe  ja arhitektuuri valdkonna koordineerimiseks, arendamiseks ja tagamiseks.  Haldusala olemasolevate ja uute teenuste loomise maht ja keerukus vajab tehnoloogia arhitekti ja infoturbe võimekuse kasvu.</v>
      </c>
      <c r="D148" s="655" t="str">
        <f>'kuni 2025 detsember tegevuskava'!J59</f>
        <v>KuM haldusala digivõimekuse tõstmine*</v>
      </c>
      <c r="E148" s="655" t="str">
        <f>'kuni 2025 detsember tegevuskava'!K59</f>
        <v>Luuakse kaks uut ametikohta: arhitekti ja infoturbe ametikohad RaRA struktuuri.  Tagatud on E-ITS juurutamine ja rakendamine RaRa-s, infoturbe taseme tõus. Tagatud on arendusprojektide elluvuviimine RaRa ja KuM-i juhitud projektides.</v>
      </c>
      <c r="F148" s="655" t="str">
        <f>'kuni 2025 detsember tegevuskava'!P59&amp;"/"</f>
        <v>SF 21-27 (taotletav raha)/</v>
      </c>
      <c r="G148" s="580" cm="1">
        <f t="array" ref="G148">_xlfn.IFS('kuni 2025 detsember tegevuskava'!G59='kuni 2025 detsember tegevuskava'!$G$97,1,'kuni 2025 detsember tegevuskava'!G59='kuni 2025 detsember tegevuskava'!$G$98,2,'kuni 2025 detsember tegevuskava'!G59='kuni 2025 detsember tegevuskava'!$G$99,3,'kuni 2025 detsember tegevuskava'!G59='kuni 2025 detsember tegevuskava'!$G$100,4)</f>
        <v>1</v>
      </c>
      <c r="H148" s="164" cm="1">
        <f t="array" ref="H148">_xlfn.IFS(OR('kuni 2025 detsember tegevuskava'!P59='kuni 2025 detsember tegevuskava'!$P$97,'kuni 2025 detsember tegevuskava'!P59='kuni 2025 detsember tegevuskava'!$P$99,'kuni 2025 detsember tegevuskava'!P59='kuni 2025 detsember tegevuskava'!$P$100,'kuni 2025 detsember tegevuskava'!P59='kuni 2025 detsember tegevuskava'!$P$101),1,'kuni 2025 detsember tegevuskava'!P59='kuni 2025 detsember tegevuskava'!$P$102,2,'kuni 2025 detsember tegevuskava'!P59='kuni 2025 detsember tegevuskava'!$P$103,2,'kuni 2025 detsember tegevuskava'!P59='kuni 2025 detsember tegevuskava'!$P$98,3)</f>
        <v>2</v>
      </c>
      <c r="I148" s="119">
        <f>SUM(I149:I149)</f>
        <v>314600</v>
      </c>
      <c r="J148" s="120"/>
      <c r="K148" s="119">
        <f>SUM(K149:K149)</f>
        <v>60500</v>
      </c>
      <c r="L148" s="152"/>
      <c r="M148" s="119">
        <f>SUM(M149:M149)</f>
        <v>127050</v>
      </c>
      <c r="N148" s="120"/>
      <c r="O148" s="119">
        <f>SUM(O149:O149)</f>
        <v>127050</v>
      </c>
      <c r="P148" s="82"/>
    </row>
    <row r="149" spans="2:16" ht="17.25" x14ac:dyDescent="0.25">
      <c r="B149" s="660"/>
      <c r="C149" s="656"/>
      <c r="D149" s="656"/>
      <c r="E149" s="656"/>
      <c r="F149" s="656"/>
      <c r="G149" s="576"/>
      <c r="H149" s="577"/>
      <c r="I149" s="98">
        <f>SUM(K149+M149+O149)</f>
        <v>314600</v>
      </c>
      <c r="J149" s="99" t="str">
        <f>"(50)"</f>
        <v>(50)</v>
      </c>
      <c r="K149" s="98">
        <f>'kuni 2025 detsember tegevuskava'!Y59</f>
        <v>60500</v>
      </c>
      <c r="L149" s="99" t="str">
        <f>"(50)"</f>
        <v>(50)</v>
      </c>
      <c r="M149" s="98">
        <f>'kuni 2025 detsember tegevuskava'!AB59</f>
        <v>127050</v>
      </c>
      <c r="N149" s="99" t="str">
        <f>"(50)"</f>
        <v>(50)</v>
      </c>
      <c r="O149" s="98">
        <f>'kuni 2025 detsember tegevuskava'!AE59</f>
        <v>127050</v>
      </c>
      <c r="P149" s="595" t="str">
        <f>"(50)"</f>
        <v>(50)</v>
      </c>
    </row>
    <row r="150" spans="2:16" ht="17.25" x14ac:dyDescent="0.25">
      <c r="B150" s="660"/>
      <c r="C150" s="656"/>
      <c r="D150" s="656"/>
      <c r="E150" s="656"/>
      <c r="F150" s="656"/>
      <c r="G150" s="576"/>
      <c r="H150" s="577"/>
      <c r="I150" s="133" t="s">
        <v>584</v>
      </c>
      <c r="J150" s="8"/>
      <c r="K150" s="8"/>
      <c r="L150" s="8"/>
      <c r="M150" s="8"/>
      <c r="N150" s="8"/>
      <c r="O150" s="8"/>
      <c r="P150" s="140"/>
    </row>
    <row r="151" spans="2:16" ht="17.25" x14ac:dyDescent="0.25">
      <c r="B151" s="660"/>
      <c r="C151" s="656"/>
      <c r="D151" s="656"/>
      <c r="E151" s="656"/>
      <c r="F151" s="656"/>
      <c r="G151" s="576"/>
      <c r="H151" s="577"/>
      <c r="I151" s="94">
        <f>SUM(I152:I152)</f>
        <v>314600</v>
      </c>
      <c r="J151" s="95"/>
      <c r="K151" s="88">
        <f>SUM(K152:K152)</f>
        <v>60500</v>
      </c>
      <c r="L151" s="89"/>
      <c r="M151" s="94">
        <f>SUM(M152:M152)</f>
        <v>127050</v>
      </c>
      <c r="N151" s="100"/>
      <c r="O151" s="94">
        <f>SUM(O152:O152)</f>
        <v>127050</v>
      </c>
      <c r="P151" s="121"/>
    </row>
    <row r="152" spans="2:16" ht="45.75" customHeight="1" thickBot="1" x14ac:dyDescent="0.3">
      <c r="B152" s="661"/>
      <c r="C152" s="657"/>
      <c r="D152" s="657"/>
      <c r="E152" s="657"/>
      <c r="F152" s="657"/>
      <c r="G152" s="576"/>
      <c r="H152" s="577"/>
      <c r="I152" s="96">
        <f>SUM(K152+M152+O152)</f>
        <v>314600</v>
      </c>
      <c r="J152" s="97" t="str">
        <f>"(50)"</f>
        <v>(50)</v>
      </c>
      <c r="K152" s="578">
        <f>K149</f>
        <v>60500</v>
      </c>
      <c r="L152" s="579" t="str">
        <f>"(50)"</f>
        <v>(50)</v>
      </c>
      <c r="M152" s="96">
        <f>M149</f>
        <v>127050</v>
      </c>
      <c r="N152" s="97" t="str">
        <f>"(50)"</f>
        <v>(50)</v>
      </c>
      <c r="O152" s="96">
        <f>O149</f>
        <v>127050</v>
      </c>
      <c r="P152" s="84" t="str">
        <f>"(50)"</f>
        <v>(50)</v>
      </c>
    </row>
    <row r="153" spans="2:16" ht="17.25" x14ac:dyDescent="0.25">
      <c r="B153" s="659" t="str">
        <f>'kuni 2025 detsember tegevuskava'!A60&amp;"/"&amp;'kuni 2025 detsember tegevuskava'!C60</f>
        <v>KuM/KuM haldusala</v>
      </c>
      <c r="C153" s="655" t="str">
        <f>'kuni 2025 detsember tegevuskava'!I60</f>
        <v>Kesksele arvutitöökohateenusele (RIT) ülemineku jätkamine järgmistes asutustes: Ugala Teater​, Draamateater, Rakvere Teatrimaja​, Eesti Kunstimuuseum</v>
      </c>
      <c r="D153" s="655" t="str">
        <f>'kuni 2025 detsember tegevuskava'!J60</f>
        <v>Keske arvutitöökohateenuse konsolideerimine</v>
      </c>
      <c r="E153" s="655" t="str">
        <f>'kuni 2025 detsember tegevuskava'!K60</f>
        <v>Keskse arvutitöökohateenusega on liitunud järgmised asutused: Ugala Teater​, Draamateater, Rakvere Teatrimaja​, Eesti Kunstimuuseum</v>
      </c>
      <c r="F153" s="655" t="str">
        <f>'kuni 2025 detsember tegevuskava'!P60&amp;"/"</f>
        <v>Baaseelarve/</v>
      </c>
      <c r="G153" s="580" cm="1">
        <f t="array" ref="G153">_xlfn.IFS('kuni 2025 detsember tegevuskava'!G60='kuni 2025 detsember tegevuskava'!$G$97,1,'kuni 2025 detsember tegevuskava'!G60='kuni 2025 detsember tegevuskava'!$G$98,2,'kuni 2025 detsember tegevuskava'!G60='kuni 2025 detsember tegevuskava'!$G$99,3,'kuni 2025 detsember tegevuskava'!G60='kuni 2025 detsember tegevuskava'!$G$100,4)</f>
        <v>2</v>
      </c>
      <c r="H153" s="164" cm="1">
        <f t="array" ref="H153">_xlfn.IFS(OR('kuni 2025 detsember tegevuskava'!P60='kuni 2025 detsember tegevuskava'!$P$97,'kuni 2025 detsember tegevuskava'!P60='kuni 2025 detsember tegevuskava'!$P$99,'kuni 2025 detsember tegevuskava'!P60='kuni 2025 detsember tegevuskava'!$P$100,'kuni 2025 detsember tegevuskava'!P60='kuni 2025 detsember tegevuskava'!$P$101),1,'kuni 2025 detsember tegevuskava'!P60='kuni 2025 detsember tegevuskava'!$P$102,2,'kuni 2025 detsember tegevuskava'!P60='kuni 2025 detsember tegevuskava'!$P$103,2,'kuni 2025 detsember tegevuskava'!P60='kuni 2025 detsember tegevuskava'!$P$98,3)</f>
        <v>1</v>
      </c>
      <c r="I153" s="119">
        <f>SUM(I154:I154)</f>
        <v>300000</v>
      </c>
      <c r="J153" s="120"/>
      <c r="K153" s="78">
        <f>SUM(K154:K154)</f>
        <v>0</v>
      </c>
      <c r="L153" s="80"/>
      <c r="M153" s="119">
        <f>SUM(M154:M154)</f>
        <v>300000</v>
      </c>
      <c r="N153" s="120"/>
      <c r="O153" s="78">
        <f>SUM(O154:O154)</f>
        <v>0</v>
      </c>
      <c r="P153" s="82"/>
    </row>
    <row r="154" spans="2:16" ht="17.25" x14ac:dyDescent="0.25">
      <c r="B154" s="660"/>
      <c r="C154" s="656"/>
      <c r="D154" s="656"/>
      <c r="E154" s="656"/>
      <c r="F154" s="656"/>
      <c r="G154" s="576"/>
      <c r="H154" s="577"/>
      <c r="I154" s="98">
        <f>SUM(K154+M154+O154)</f>
        <v>300000</v>
      </c>
      <c r="J154" s="99" t="str">
        <f>"(55)"</f>
        <v>(55)</v>
      </c>
      <c r="K154" s="93">
        <f>'kuni 2025 detsember tegevuskava'!Z60</f>
        <v>0</v>
      </c>
      <c r="L154" s="85" t="str">
        <f>"(55)"</f>
        <v>(55)</v>
      </c>
      <c r="M154" s="98">
        <f>'kuni 2025 detsember tegevuskava'!AC60</f>
        <v>300000</v>
      </c>
      <c r="N154" s="99" t="str">
        <f>"(55)"</f>
        <v>(55)</v>
      </c>
      <c r="O154" s="93">
        <f>'kuni 2025 detsember tegevuskava'!AF60</f>
        <v>0</v>
      </c>
      <c r="P154" s="87" t="str">
        <f>"(55)"</f>
        <v>(55)</v>
      </c>
    </row>
    <row r="155" spans="2:16" ht="17.25" x14ac:dyDescent="0.25">
      <c r="B155" s="660"/>
      <c r="C155" s="656"/>
      <c r="D155" s="656"/>
      <c r="E155" s="656"/>
      <c r="F155" s="656"/>
      <c r="G155" s="576"/>
      <c r="H155" s="577"/>
      <c r="I155" s="133" t="s">
        <v>584</v>
      </c>
      <c r="J155" s="8"/>
      <c r="K155" s="8"/>
      <c r="L155" s="8"/>
      <c r="M155" s="8"/>
      <c r="N155" s="8"/>
      <c r="O155" s="8"/>
      <c r="P155" s="140"/>
    </row>
    <row r="156" spans="2:16" ht="17.25" x14ac:dyDescent="0.25">
      <c r="B156" s="660"/>
      <c r="C156" s="656"/>
      <c r="D156" s="656"/>
      <c r="E156" s="656"/>
      <c r="F156" s="656"/>
      <c r="G156" s="576"/>
      <c r="H156" s="577"/>
      <c r="I156" s="94">
        <f>SUM(I157:I157)</f>
        <v>366000</v>
      </c>
      <c r="J156" s="95"/>
      <c r="K156" s="88">
        <f>SUM(K157:K157)</f>
        <v>0</v>
      </c>
      <c r="L156" s="89"/>
      <c r="M156" s="94">
        <f>SUM(M157:M157)</f>
        <v>366000</v>
      </c>
      <c r="N156" s="100"/>
      <c r="O156" s="94">
        <f>SUM(O157:O157)</f>
        <v>0</v>
      </c>
      <c r="P156" s="121"/>
    </row>
    <row r="157" spans="2:16" ht="18" thickBot="1" x14ac:dyDescent="0.3">
      <c r="B157" s="661"/>
      <c r="C157" s="657"/>
      <c r="D157" s="657"/>
      <c r="E157" s="657"/>
      <c r="F157" s="657"/>
      <c r="G157" s="576"/>
      <c r="H157" s="577"/>
      <c r="I157" s="96">
        <f>SUM(K157+M157+O157)</f>
        <v>366000</v>
      </c>
      <c r="J157" s="97" t="str">
        <f>"(55)"</f>
        <v>(55)</v>
      </c>
      <c r="K157" s="578">
        <f>SUM(K154*1.2)</f>
        <v>0</v>
      </c>
      <c r="L157" s="579" t="str">
        <f>"(55)"</f>
        <v>(55)</v>
      </c>
      <c r="M157" s="96">
        <f>SUM(M154*1.22)</f>
        <v>366000</v>
      </c>
      <c r="N157" s="97" t="str">
        <f>"(55)"</f>
        <v>(55)</v>
      </c>
      <c r="O157" s="96">
        <f>SUM(O154*1.22)</f>
        <v>0</v>
      </c>
      <c r="P157" s="84" t="str">
        <f>"(55)"</f>
        <v>(55)</v>
      </c>
    </row>
    <row r="158" spans="2:16" ht="17.25" x14ac:dyDescent="0.25">
      <c r="B158" s="659" t="str">
        <f>'kuni 2025 detsember tegevuskava'!A67&amp;"/"&amp;'kuni 2025 detsember tegevuskava'!C67</f>
        <v>KuM/KuM haldusala</v>
      </c>
      <c r="C158" s="655" t="str">
        <f>'kuni 2025 detsember tegevuskava'!I67</f>
        <v>Puudub KuM valitsemisala ülene IT taristu ülevaade.</v>
      </c>
      <c r="D158" s="655" t="str">
        <f>'kuni 2025 detsember tegevuskava'!J67</f>
        <v>Infosüsteemide kaardistus, ministeeriumi ja valitsemisala ülese teenuste portfelli loomine (olulisemad- ja avalikud e-teenused)</v>
      </c>
      <c r="E158" s="655" t="str">
        <f>'kuni 2025 detsember tegevuskava'!K67</f>
        <v>Ülevaade olemasolevate süsteemide kitsaskohtadest ja võimalus analüüsida asutuste teenuste konsolideerimist.</v>
      </c>
      <c r="F158" s="655" t="str">
        <f>'kuni 2025 detsember tegevuskava'!P67&amp;"/"</f>
        <v>Baaseelarve/</v>
      </c>
      <c r="G158" s="580" cm="1">
        <f t="array" ref="G158">_xlfn.IFS('kuni 2025 detsember tegevuskava'!G67='kuni 2025 detsember tegevuskava'!$G$97,1,'kuni 2025 detsember tegevuskava'!G67='kuni 2025 detsember tegevuskava'!$G$98,2,'kuni 2025 detsember tegevuskava'!G67='kuni 2025 detsember tegevuskava'!$G$99,3,'kuni 2025 detsember tegevuskava'!G67='kuni 2025 detsember tegevuskava'!$G$100,4)</f>
        <v>4</v>
      </c>
      <c r="H158" s="164" cm="1">
        <f t="array" ref="H158">_xlfn.IFS(OR('kuni 2025 detsember tegevuskava'!P67='kuni 2025 detsember tegevuskava'!$P$97,'kuni 2025 detsember tegevuskava'!P67='kuni 2025 detsember tegevuskava'!$P$99,'kuni 2025 detsember tegevuskava'!P67='kuni 2025 detsember tegevuskava'!$P$100,'kuni 2025 detsember tegevuskava'!P67='kuni 2025 detsember tegevuskava'!$P$101),1,'kuni 2025 detsember tegevuskava'!P67='kuni 2025 detsember tegevuskava'!$P$102,2,'kuni 2025 detsember tegevuskava'!P67='kuni 2025 detsember tegevuskava'!$P$103,2,'kuni 2025 detsember tegevuskava'!P67='kuni 2025 detsember tegevuskava'!$P$98,3)</f>
        <v>1</v>
      </c>
      <c r="I158" s="119">
        <f>SUM(I159:I159)</f>
        <v>50000</v>
      </c>
      <c r="J158" s="120"/>
      <c r="K158" s="78">
        <f>SUM(K159:K159)</f>
        <v>0</v>
      </c>
      <c r="L158" s="80"/>
      <c r="M158" s="119">
        <f>SUM(M159:M159)</f>
        <v>50000</v>
      </c>
      <c r="N158" s="120"/>
      <c r="O158" s="78">
        <f>SUM(O159:O159)</f>
        <v>0</v>
      </c>
      <c r="P158" s="82"/>
    </row>
    <row r="159" spans="2:16" ht="17.25" x14ac:dyDescent="0.25">
      <c r="B159" s="660"/>
      <c r="C159" s="656"/>
      <c r="D159" s="656"/>
      <c r="E159" s="656"/>
      <c r="F159" s="656"/>
      <c r="G159" s="576"/>
      <c r="H159" s="577"/>
      <c r="I159" s="98">
        <f>SUM(K159+M159+O159)</f>
        <v>50000</v>
      </c>
      <c r="J159" s="99" t="str">
        <f>"(55)"</f>
        <v>(55)</v>
      </c>
      <c r="K159" s="93">
        <f>'kuni 2025 detsember tegevuskava'!Z67</f>
        <v>0</v>
      </c>
      <c r="L159" s="85" t="str">
        <f>"(55)"</f>
        <v>(55)</v>
      </c>
      <c r="M159" s="98">
        <f>'kuni 2025 detsember tegevuskava'!AC67</f>
        <v>50000</v>
      </c>
      <c r="N159" s="99" t="str">
        <f>"(55)"</f>
        <v>(55)</v>
      </c>
      <c r="O159" s="93">
        <f>'kuni 2025 detsember tegevuskava'!AF67</f>
        <v>0</v>
      </c>
      <c r="P159" s="87" t="str">
        <f>"(55)"</f>
        <v>(55)</v>
      </c>
    </row>
    <row r="160" spans="2:16" ht="17.25" x14ac:dyDescent="0.25">
      <c r="B160" s="660"/>
      <c r="C160" s="656"/>
      <c r="D160" s="656"/>
      <c r="E160" s="656"/>
      <c r="F160" s="656"/>
      <c r="G160" s="576"/>
      <c r="H160" s="577"/>
      <c r="I160" s="133" t="s">
        <v>584</v>
      </c>
      <c r="J160" s="8"/>
      <c r="K160" s="8"/>
      <c r="L160" s="8"/>
      <c r="M160" s="8"/>
      <c r="N160" s="8"/>
      <c r="O160" s="8"/>
      <c r="P160" s="140"/>
    </row>
    <row r="161" spans="2:16" ht="17.25" x14ac:dyDescent="0.25">
      <c r="B161" s="660"/>
      <c r="C161" s="656"/>
      <c r="D161" s="656"/>
      <c r="E161" s="656"/>
      <c r="F161" s="656"/>
      <c r="G161" s="576"/>
      <c r="H161" s="577"/>
      <c r="I161" s="94">
        <f>SUM(I162:I162)</f>
        <v>61000</v>
      </c>
      <c r="J161" s="95"/>
      <c r="K161" s="88">
        <f>SUM(K162:K162)</f>
        <v>0</v>
      </c>
      <c r="L161" s="89"/>
      <c r="M161" s="94">
        <f>SUM(M162:M162)</f>
        <v>61000</v>
      </c>
      <c r="N161" s="100"/>
      <c r="O161" s="94">
        <f>SUM(O162:O162)</f>
        <v>0</v>
      </c>
      <c r="P161" s="121"/>
    </row>
    <row r="162" spans="2:16" ht="19.5" customHeight="1" thickBot="1" x14ac:dyDescent="0.3">
      <c r="B162" s="661"/>
      <c r="C162" s="657"/>
      <c r="D162" s="657"/>
      <c r="E162" s="657"/>
      <c r="F162" s="657"/>
      <c r="G162" s="576"/>
      <c r="H162" s="577"/>
      <c r="I162" s="96">
        <f>SUM(K162+M162+O162)</f>
        <v>61000</v>
      </c>
      <c r="J162" s="97" t="str">
        <f>"(55)"</f>
        <v>(55)</v>
      </c>
      <c r="K162" s="578">
        <f>SUM(K159*1.2)</f>
        <v>0</v>
      </c>
      <c r="L162" s="579" t="str">
        <f>"(55)"</f>
        <v>(55)</v>
      </c>
      <c r="M162" s="96">
        <f>SUM(M159*1.22)</f>
        <v>61000</v>
      </c>
      <c r="N162" s="97" t="str">
        <f>"(55)"</f>
        <v>(55)</v>
      </c>
      <c r="O162" s="96">
        <f>SUM(O159*1.22)</f>
        <v>0</v>
      </c>
      <c r="P162" s="84" t="str">
        <f>"(55)"</f>
        <v>(55)</v>
      </c>
    </row>
    <row r="163" spans="2:16" ht="17.25" x14ac:dyDescent="0.25">
      <c r="B163" s="659" t="str">
        <f>'kuni 2025 detsember tegevuskava'!A74&amp;"/"&amp;'kuni 2025 detsember tegevuskava'!C74</f>
        <v>KuM/KuM haldusala</v>
      </c>
      <c r="C163" s="655" t="str">
        <f>'kuni 2025 detsember tegevuskava'!I74</f>
        <v>Kultuuriministeeriumis puudub piisav võimekus ärianalüüside läbiviimiseks. Kiiremaloomulised ärianalüüsid, mis on vajalik lähiajal läbi viia  on järgmised: 
*Kultuurimälestiste registri  ärianalüüs, sh EHR liidestamise analüüs (VVTP 2025)
*Autorhüvitisfondi andmebaasi ja funktsionaalsuse RaRasse üleviimise analüüs​
*Eestis kohanemise teenuse ärianalüüs. Iga analüüs üksikult sisse ostes on ca 50 000-100 000 ühe analüüsi kohta</v>
      </c>
      <c r="D163" s="655" t="str">
        <f>'kuni 2025 detsember tegevuskava'!J74</f>
        <v>KuM haldusala digivõimekuse tõstmine</v>
      </c>
      <c r="E163" s="655" t="str">
        <f>'kuni 2025 detsember tegevuskava'!K74</f>
        <v xml:space="preserve">Kultuurimälestiste registri analüüsi tulemusel selgub, kas on mõistlik jätkata olemasoleva registri arendamist või alustada uue loomist  s.h analüüsitakse ehitusregistriga integreerimise võimalusi. 
Autorhüvitisfondi RaRasse üleviimise analüüs​i tulemusena selgub kas ja kuidas on võimalik AHF-i andmebaasi ja funktsionaalsuse üle viia.
Läbi on viidud Eestis kohanemise teenuse ärianalüüs, mille käigus selgub teenuse to-be vaade ja edasised arendusvajadused.
</v>
      </c>
      <c r="F163" s="655" t="str">
        <f>'kuni 2025 detsember tegevuskava'!P74&amp;"/"</f>
        <v>SF 21-27 (taotletav raha)/</v>
      </c>
      <c r="G163" s="580" cm="1">
        <f t="array" ref="G163">_xlfn.IFS('kuni 2025 detsember tegevuskava'!G74='kuni 2025 detsember tegevuskava'!$G$97,1,'kuni 2025 detsember tegevuskava'!G74='kuni 2025 detsember tegevuskava'!$G$98,2,'kuni 2025 detsember tegevuskava'!G74='kuni 2025 detsember tegevuskava'!$G$99,3,'kuni 2025 detsember tegevuskava'!G74='kuni 2025 detsember tegevuskava'!$G$100,4)</f>
        <v>1</v>
      </c>
      <c r="H163" s="164" cm="1">
        <f t="array" ref="H163">_xlfn.IFS(OR('kuni 2025 detsember tegevuskava'!P74='kuni 2025 detsember tegevuskava'!$P$97,'kuni 2025 detsember tegevuskava'!P74='kuni 2025 detsember tegevuskava'!$P$99,'kuni 2025 detsember tegevuskava'!P74='kuni 2025 detsember tegevuskava'!$P$100,'kuni 2025 detsember tegevuskava'!P74='kuni 2025 detsember tegevuskava'!$P$101),1,'kuni 2025 detsember tegevuskava'!P74='kuni 2025 detsember tegevuskava'!$P$102,2,'kuni 2025 detsember tegevuskava'!P74='kuni 2025 detsember tegevuskava'!$P$103,2,'kuni 2025 detsember tegevuskava'!P74='kuni 2025 detsember tegevuskava'!$P$98,3)</f>
        <v>2</v>
      </c>
      <c r="I163" s="119">
        <f>SUM(I164:I164)</f>
        <v>65000</v>
      </c>
      <c r="J163" s="120"/>
      <c r="K163" s="119">
        <f>SUM(K164:K164)</f>
        <v>0</v>
      </c>
      <c r="L163" s="152"/>
      <c r="M163" s="119">
        <f>SUM(M164:M164)</f>
        <v>0</v>
      </c>
      <c r="N163" s="120"/>
      <c r="O163" s="119">
        <f>SUM(O164:O164)</f>
        <v>65000</v>
      </c>
      <c r="P163" s="82"/>
    </row>
    <row r="164" spans="2:16" ht="17.25" x14ac:dyDescent="0.25">
      <c r="B164" s="660"/>
      <c r="C164" s="656"/>
      <c r="D164" s="656"/>
      <c r="E164" s="656"/>
      <c r="F164" s="656"/>
      <c r="G164" s="576"/>
      <c r="H164" s="577"/>
      <c r="I164" s="98">
        <f>SUM(K164+M164+O164)</f>
        <v>65000</v>
      </c>
      <c r="J164" s="99" t="str">
        <f>"(50)"</f>
        <v>(50)</v>
      </c>
      <c r="K164" s="98">
        <f>'kuni 2025 detsember tegevuskava'!Y74</f>
        <v>0</v>
      </c>
      <c r="L164" s="99" t="str">
        <f>"(50)"</f>
        <v>(50)</v>
      </c>
      <c r="M164" s="98">
        <f>'kuni 2025 detsember tegevuskava'!AB74</f>
        <v>0</v>
      </c>
      <c r="N164" s="99" t="str">
        <f>"(50)"</f>
        <v>(50)</v>
      </c>
      <c r="O164" s="98">
        <f>'kuni 2025 detsember tegevuskava'!AE74</f>
        <v>65000</v>
      </c>
      <c r="P164" s="595" t="str">
        <f>"(50)"</f>
        <v>(50)</v>
      </c>
    </row>
    <row r="165" spans="2:16" ht="17.25" x14ac:dyDescent="0.25">
      <c r="B165" s="660"/>
      <c r="C165" s="656"/>
      <c r="D165" s="656"/>
      <c r="E165" s="656"/>
      <c r="F165" s="656"/>
      <c r="G165" s="576"/>
      <c r="H165" s="577"/>
      <c r="I165" s="133" t="s">
        <v>584</v>
      </c>
      <c r="J165" s="8"/>
      <c r="K165" s="8"/>
      <c r="L165" s="8"/>
      <c r="M165" s="8"/>
      <c r="N165" s="8"/>
      <c r="O165" s="8"/>
      <c r="P165" s="140"/>
    </row>
    <row r="166" spans="2:16" ht="17.25" x14ac:dyDescent="0.25">
      <c r="B166" s="660"/>
      <c r="C166" s="656"/>
      <c r="D166" s="656"/>
      <c r="E166" s="656"/>
      <c r="F166" s="656"/>
      <c r="G166" s="576"/>
      <c r="H166" s="577"/>
      <c r="I166" s="94">
        <f>SUM(I167:I167)</f>
        <v>65000</v>
      </c>
      <c r="J166" s="95"/>
      <c r="K166" s="88">
        <f>SUM(K167:K167)</f>
        <v>0</v>
      </c>
      <c r="L166" s="89"/>
      <c r="M166" s="94">
        <f>SUM(M167:M167)</f>
        <v>0</v>
      </c>
      <c r="N166" s="100"/>
      <c r="O166" s="94">
        <f>SUM(O167:O167)</f>
        <v>65000</v>
      </c>
      <c r="P166" s="121"/>
    </row>
    <row r="167" spans="2:16" ht="169.5" customHeight="1" thickBot="1" x14ac:dyDescent="0.3">
      <c r="B167" s="661"/>
      <c r="C167" s="657"/>
      <c r="D167" s="657"/>
      <c r="E167" s="657"/>
      <c r="F167" s="657"/>
      <c r="G167" s="576"/>
      <c r="H167" s="577"/>
      <c r="I167" s="96">
        <f>SUM(K167+M167+O167)</f>
        <v>65000</v>
      </c>
      <c r="J167" s="97" t="str">
        <f>"(50)"</f>
        <v>(50)</v>
      </c>
      <c r="K167" s="578">
        <f>K164</f>
        <v>0</v>
      </c>
      <c r="L167" s="579" t="str">
        <f>"(50)"</f>
        <v>(50)</v>
      </c>
      <c r="M167" s="96">
        <f>M164</f>
        <v>0</v>
      </c>
      <c r="N167" s="97" t="str">
        <f>"(50)"</f>
        <v>(50)</v>
      </c>
      <c r="O167" s="96">
        <f>O164</f>
        <v>65000</v>
      </c>
      <c r="P167" s="84" t="str">
        <f>"(50)"</f>
        <v>(50)</v>
      </c>
    </row>
    <row r="168" spans="2:16" ht="17.25" x14ac:dyDescent="0.25">
      <c r="B168" s="659" t="str">
        <f>'kuni 2025 detsember tegevuskava'!A78&amp;"/"&amp;'kuni 2025 detsember tegevuskava'!C78</f>
        <v>KuM/Rahvusarhiiv</v>
      </c>
      <c r="C168" s="655" t="str">
        <f>'kuni 2025 detsember tegevuskava'!I78</f>
        <v>Vaid 3% Eesti kultuuripärandiasutustes olevast dokumendipärandist on digitaalselt kättesaadav.</v>
      </c>
      <c r="D168" s="655" t="str">
        <f>'kuni 2025 detsember tegevuskava'!J78</f>
        <v>Nõukogude-aegsete loominguliste liitude, kultuuri-ja teadusasutuste arhiivid*</v>
      </c>
      <c r="E168" s="655" t="str">
        <f>'kuni 2025 detsember tegevuskava'!K78</f>
        <v>Suure kasutajatepoolse huviga kultuuriväärtusliku dokumendipärandi kättesaadavus on suurenenud.</v>
      </c>
      <c r="F168" s="655" t="str">
        <f>'kuni 2025 detsember tegevuskava'!P78&amp;"/"</f>
        <v>SF 21-27 (taotletav raha)/</v>
      </c>
      <c r="G168" s="580" cm="1">
        <f t="array" ref="G168">_xlfn.IFS('kuni 2025 detsember tegevuskava'!G78='kuni 2025 detsember tegevuskava'!$G$97,1,'kuni 2025 detsember tegevuskava'!G78='kuni 2025 detsember tegevuskava'!$G$98,2,'kuni 2025 detsember tegevuskava'!G78='kuni 2025 detsember tegevuskava'!$G$99,3,'kuni 2025 detsember tegevuskava'!G78='kuni 2025 detsember tegevuskava'!$G$100,4)</f>
        <v>4</v>
      </c>
      <c r="H168" s="164" cm="1">
        <f t="array" ref="H168">_xlfn.IFS(OR('kuni 2025 detsember tegevuskava'!P78='kuni 2025 detsember tegevuskava'!$P$97,'kuni 2025 detsember tegevuskava'!P78='kuni 2025 detsember tegevuskava'!$P$99,'kuni 2025 detsember tegevuskava'!P78='kuni 2025 detsember tegevuskava'!$P$100,'kuni 2025 detsember tegevuskava'!P78='kuni 2025 detsember tegevuskava'!$P$101),1,'kuni 2025 detsember tegevuskava'!P78='kuni 2025 detsember tegevuskava'!$P$102,2,'kuni 2025 detsember tegevuskava'!P78='kuni 2025 detsember tegevuskava'!$P$103,2,'kuni 2025 detsember tegevuskava'!P78='kuni 2025 detsember tegevuskava'!$P$98,3)</f>
        <v>2</v>
      </c>
      <c r="I168" s="119">
        <f>SUM(I169:I169)</f>
        <v>614392</v>
      </c>
      <c r="J168" s="120"/>
      <c r="K168" s="119">
        <f>SUM(K169:K169)</f>
        <v>0</v>
      </c>
      <c r="L168" s="152"/>
      <c r="M168" s="119">
        <f>SUM(M169:M169)</f>
        <v>614392</v>
      </c>
      <c r="N168" s="120"/>
      <c r="O168" s="119">
        <f>SUM(O169:O169)</f>
        <v>0</v>
      </c>
      <c r="P168" s="82"/>
    </row>
    <row r="169" spans="2:16" ht="17.25" x14ac:dyDescent="0.25">
      <c r="B169" s="660"/>
      <c r="C169" s="656"/>
      <c r="D169" s="656"/>
      <c r="E169" s="656"/>
      <c r="F169" s="656"/>
      <c r="G169" s="576"/>
      <c r="H169" s="577"/>
      <c r="I169" s="98">
        <f>SUM(K169+M169+O169)</f>
        <v>614392</v>
      </c>
      <c r="J169" s="99" t="str">
        <f>"(15)"</f>
        <v>(15)</v>
      </c>
      <c r="K169" s="98">
        <f>'kuni 2025 detsember tegevuskava'!X78</f>
        <v>0</v>
      </c>
      <c r="L169" s="99" t="str">
        <f>"(15)"</f>
        <v>(15)</v>
      </c>
      <c r="M169" s="98">
        <f>'kuni 2025 detsember tegevuskava'!AA78</f>
        <v>614392</v>
      </c>
      <c r="N169" s="99" t="str">
        <f>"(15)"</f>
        <v>(15)</v>
      </c>
      <c r="O169" s="98">
        <f>'kuni 2025 detsember tegevuskava'!AD78</f>
        <v>0</v>
      </c>
      <c r="P169" s="595" t="str">
        <f>"(15)"</f>
        <v>(15)</v>
      </c>
    </row>
    <row r="170" spans="2:16" ht="17.25" x14ac:dyDescent="0.25">
      <c r="B170" s="660"/>
      <c r="C170" s="656"/>
      <c r="D170" s="656"/>
      <c r="E170" s="656"/>
      <c r="F170" s="656"/>
      <c r="G170" s="576"/>
      <c r="H170" s="577"/>
      <c r="I170" s="133" t="s">
        <v>584</v>
      </c>
      <c r="J170" s="8"/>
      <c r="K170" s="8"/>
      <c r="L170" s="8"/>
      <c r="M170" s="8"/>
      <c r="N170" s="8"/>
      <c r="O170" s="8"/>
      <c r="P170" s="140"/>
    </row>
    <row r="171" spans="2:16" ht="17.25" x14ac:dyDescent="0.25">
      <c r="B171" s="660"/>
      <c r="C171" s="656"/>
      <c r="D171" s="656"/>
      <c r="E171" s="656"/>
      <c r="F171" s="656"/>
      <c r="G171" s="576"/>
      <c r="H171" s="577"/>
      <c r="I171" s="94">
        <f>SUM(I172:I172)</f>
        <v>749558.24</v>
      </c>
      <c r="J171" s="95"/>
      <c r="K171" s="88">
        <f>SUM(K172:K172)</f>
        <v>0</v>
      </c>
      <c r="L171" s="89"/>
      <c r="M171" s="94">
        <f>SUM(M172:M172)</f>
        <v>749558.24</v>
      </c>
      <c r="N171" s="100"/>
      <c r="O171" s="94">
        <f>SUM(O172:O172)</f>
        <v>0</v>
      </c>
      <c r="P171" s="121"/>
    </row>
    <row r="172" spans="2:16" ht="18.600000000000001" customHeight="1" thickBot="1" x14ac:dyDescent="0.3">
      <c r="B172" s="661"/>
      <c r="C172" s="657"/>
      <c r="D172" s="657"/>
      <c r="E172" s="657"/>
      <c r="F172" s="657"/>
      <c r="G172" s="576"/>
      <c r="H172" s="577"/>
      <c r="I172" s="96">
        <f>SUM(K172+M172+O172)</f>
        <v>749558.24</v>
      </c>
      <c r="J172" s="97" t="str">
        <f>"(15)"</f>
        <v>(15)</v>
      </c>
      <c r="K172" s="578">
        <f>SUM(K169*1.2)</f>
        <v>0</v>
      </c>
      <c r="L172" s="579" t="str">
        <f>"(15)"</f>
        <v>(15)</v>
      </c>
      <c r="M172" s="96">
        <f>SUM(M169*1.22)</f>
        <v>749558.24</v>
      </c>
      <c r="N172" s="97" t="str">
        <f>"(15)"</f>
        <v>(15)</v>
      </c>
      <c r="O172" s="96">
        <f>SUM(O169*1.22)</f>
        <v>0</v>
      </c>
      <c r="P172" s="84" t="str">
        <f>"(15)"</f>
        <v>(15)</v>
      </c>
    </row>
    <row r="173" spans="2:16" ht="17.25" x14ac:dyDescent="0.25">
      <c r="B173" s="659" t="str">
        <f>'kuni 2025 detsember tegevuskava'!A79&amp;"/"&amp;'kuni 2025 detsember tegevuskava'!C79</f>
        <v>KuM/Rahvusarhiiv</v>
      </c>
      <c r="C173" s="655" t="str">
        <f>'kuni 2025 detsember tegevuskava'!I79</f>
        <v>Vaid 3% Eesti kultuuripärandiasutustes olevast dokumendipärandist on digitaalselt kättesaadav.</v>
      </c>
      <c r="D173" s="655" t="str">
        <f>'kuni 2025 detsember tegevuskava'!J79</f>
        <v>Kinnistuarhiivide kinnistusregistrid*</v>
      </c>
      <c r="E173" s="655" t="str">
        <f>'kuni 2025 detsember tegevuskava'!K79</f>
        <v>Suure kasutajatepoolse huviga kultuuriväärtusliku dokumendipärandi kättesaadavus on suurenenud.</v>
      </c>
      <c r="F173" s="655" t="str">
        <f>'kuni 2025 detsember tegevuskava'!P79&amp;"/"</f>
        <v>SF 21-27 (taotletav raha)/</v>
      </c>
      <c r="G173" s="580" cm="1">
        <f t="array" ref="G173">_xlfn.IFS('kuni 2025 detsember tegevuskava'!G79='kuni 2025 detsember tegevuskava'!$G$97,1,'kuni 2025 detsember tegevuskava'!G79='kuni 2025 detsember tegevuskava'!$G$98,2,'kuni 2025 detsember tegevuskava'!G79='kuni 2025 detsember tegevuskava'!$G$99,3,'kuni 2025 detsember tegevuskava'!G79='kuni 2025 detsember tegevuskava'!$G$100,4)</f>
        <v>4</v>
      </c>
      <c r="H173" s="164" cm="1">
        <f t="array" ref="H173">_xlfn.IFS(OR('kuni 2025 detsember tegevuskava'!P79='kuni 2025 detsember tegevuskava'!$P$97,'kuni 2025 detsember tegevuskava'!P79='kuni 2025 detsember tegevuskava'!$P$99,'kuni 2025 detsember tegevuskava'!P79='kuni 2025 detsember tegevuskava'!$P$100,'kuni 2025 detsember tegevuskava'!P79='kuni 2025 detsember tegevuskava'!$P$101),1,'kuni 2025 detsember tegevuskava'!P79='kuni 2025 detsember tegevuskava'!$P$102,2,'kuni 2025 detsember tegevuskava'!P79='kuni 2025 detsember tegevuskava'!$P$103,2,'kuni 2025 detsember tegevuskava'!P79='kuni 2025 detsember tegevuskava'!$P$98,3)</f>
        <v>2</v>
      </c>
      <c r="I173" s="119">
        <f>SUM(I174:I174)</f>
        <v>618392</v>
      </c>
      <c r="J173" s="120"/>
      <c r="K173" s="119">
        <f>SUM(K174:K174)</f>
        <v>0</v>
      </c>
      <c r="L173" s="152"/>
      <c r="M173" s="119">
        <f>SUM(M174:M174)</f>
        <v>618392</v>
      </c>
      <c r="N173" s="120"/>
      <c r="O173" s="119">
        <f>SUM(O174:O174)</f>
        <v>0</v>
      </c>
      <c r="P173" s="82"/>
    </row>
    <row r="174" spans="2:16" ht="17.25" x14ac:dyDescent="0.25">
      <c r="B174" s="660"/>
      <c r="C174" s="656"/>
      <c r="D174" s="656"/>
      <c r="E174" s="656"/>
      <c r="F174" s="656"/>
      <c r="G174" s="576"/>
      <c r="H174" s="577"/>
      <c r="I174" s="98">
        <f>SUM(K174+M174+O174)</f>
        <v>618392</v>
      </c>
      <c r="J174" s="99" t="str">
        <f>"(15)"</f>
        <v>(15)</v>
      </c>
      <c r="K174" s="98">
        <f>'kuni 2025 detsember tegevuskava'!X79</f>
        <v>0</v>
      </c>
      <c r="L174" s="99" t="str">
        <f>"(15)"</f>
        <v>(15)</v>
      </c>
      <c r="M174" s="98">
        <f>'kuni 2025 detsember tegevuskava'!AA79</f>
        <v>618392</v>
      </c>
      <c r="N174" s="99" t="str">
        <f>"(15)"</f>
        <v>(15)</v>
      </c>
      <c r="O174" s="98">
        <f>'kuni 2025 detsember tegevuskava'!AD79</f>
        <v>0</v>
      </c>
      <c r="P174" s="595" t="str">
        <f>"(15)"</f>
        <v>(15)</v>
      </c>
    </row>
    <row r="175" spans="2:16" ht="17.25" x14ac:dyDescent="0.25">
      <c r="B175" s="660"/>
      <c r="C175" s="656"/>
      <c r="D175" s="656"/>
      <c r="E175" s="656"/>
      <c r="F175" s="656"/>
      <c r="G175" s="576"/>
      <c r="H175" s="577"/>
      <c r="I175" s="133" t="s">
        <v>584</v>
      </c>
      <c r="J175" s="8"/>
      <c r="K175" s="8"/>
      <c r="L175" s="8"/>
      <c r="M175" s="8"/>
      <c r="N175" s="8"/>
      <c r="O175" s="8"/>
      <c r="P175" s="140"/>
    </row>
    <row r="176" spans="2:16" ht="17.25" x14ac:dyDescent="0.25">
      <c r="B176" s="660"/>
      <c r="C176" s="656"/>
      <c r="D176" s="656"/>
      <c r="E176" s="656"/>
      <c r="F176" s="656"/>
      <c r="G176" s="576"/>
      <c r="H176" s="577"/>
      <c r="I176" s="94">
        <f>SUM(I177:I177)</f>
        <v>754438.24</v>
      </c>
      <c r="J176" s="95"/>
      <c r="K176" s="88">
        <f>SUM(K177:K177)</f>
        <v>0</v>
      </c>
      <c r="L176" s="89"/>
      <c r="M176" s="94">
        <f>SUM(M177:M177)</f>
        <v>754438.24</v>
      </c>
      <c r="N176" s="100"/>
      <c r="O176" s="94">
        <f>SUM(O177:O177)</f>
        <v>0</v>
      </c>
      <c r="P176" s="121"/>
    </row>
    <row r="177" spans="2:16" ht="17.100000000000001" customHeight="1" thickBot="1" x14ac:dyDescent="0.3">
      <c r="B177" s="661"/>
      <c r="C177" s="657"/>
      <c r="D177" s="657"/>
      <c r="E177" s="657"/>
      <c r="F177" s="657"/>
      <c r="G177" s="576"/>
      <c r="H177" s="577"/>
      <c r="I177" s="96">
        <f>SUM(K177+M177+O177)</f>
        <v>754438.24</v>
      </c>
      <c r="J177" s="97" t="str">
        <f>"(15)"</f>
        <v>(15)</v>
      </c>
      <c r="K177" s="578">
        <f>SUM(K174*1.2)</f>
        <v>0</v>
      </c>
      <c r="L177" s="579" t="str">
        <f>"(15)"</f>
        <v>(15)</v>
      </c>
      <c r="M177" s="96">
        <f>SUM(M174*1.22)</f>
        <v>754438.24</v>
      </c>
      <c r="N177" s="97" t="str">
        <f>"(15)"</f>
        <v>(15)</v>
      </c>
      <c r="O177" s="96">
        <f>SUM(O174*1.22)</f>
        <v>0</v>
      </c>
      <c r="P177" s="84" t="str">
        <f>"(15)"</f>
        <v>(15)</v>
      </c>
    </row>
    <row r="178" spans="2:16" ht="17.25" x14ac:dyDescent="0.25">
      <c r="B178" s="659" t="str">
        <f>'kuni 2025 detsember tegevuskava'!A80&amp;"/"&amp;'kuni 2025 detsember tegevuskava'!C80</f>
        <v>KuM/Rahvusarhiiv</v>
      </c>
      <c r="C178" s="655" t="str">
        <f>'kuni 2025 detsember tegevuskava'!I80</f>
        <v>Kogu Eesti kultuuripärandiasutustes olev filmipärand pole digitaalsena kättesaadav. Samuti on materjail suur säilitusvajadus, kuna VHSid on kõige kiiremini hävinev kandjaliik audiovideo valdkonnas.</v>
      </c>
      <c r="D178" s="655" t="str">
        <f>'kuni 2025 detsember tegevuskava'!J80</f>
        <v>Riigikogu istungite videosalvestised 1999-2012 VHSidel</v>
      </c>
      <c r="E178" s="655" t="str">
        <f>'kuni 2025 detsember tegevuskava'!K80</f>
        <v>Suure kasutajatepoolse huviga kultuuriväärtusliku filmipärandi kättesaadavus on suurenenud. Filmipärand on pikaajaliselt säilitatud.</v>
      </c>
      <c r="F178" s="655" t="str">
        <f>'kuni 2025 detsember tegevuskava'!P80&amp;"/"</f>
        <v>SF 21-27 (taotletav raha)/</v>
      </c>
      <c r="G178" s="580" cm="1">
        <f t="array" ref="G178">_xlfn.IFS('kuni 2025 detsember tegevuskava'!G80='kuni 2025 detsember tegevuskava'!$G$97,1,'kuni 2025 detsember tegevuskava'!G80='kuni 2025 detsember tegevuskava'!$G$98,2,'kuni 2025 detsember tegevuskava'!G80='kuni 2025 detsember tegevuskava'!$G$99,3,'kuni 2025 detsember tegevuskava'!G80='kuni 2025 detsember tegevuskava'!$G$100,4)</f>
        <v>4</v>
      </c>
      <c r="H178" s="164" cm="1">
        <f t="array" ref="H178">_xlfn.IFS(OR('kuni 2025 detsember tegevuskava'!P80='kuni 2025 detsember tegevuskava'!$P$97,'kuni 2025 detsember tegevuskava'!P80='kuni 2025 detsember tegevuskava'!$P$99,'kuni 2025 detsember tegevuskava'!P80='kuni 2025 detsember tegevuskava'!$P$100,'kuni 2025 detsember tegevuskava'!P80='kuni 2025 detsember tegevuskava'!$P$101),1,'kuni 2025 detsember tegevuskava'!P80='kuni 2025 detsember tegevuskava'!$P$102,2,'kuni 2025 detsember tegevuskava'!P80='kuni 2025 detsember tegevuskava'!$P$103,2,'kuni 2025 detsember tegevuskava'!P80='kuni 2025 detsember tegevuskava'!$P$98,3)</f>
        <v>2</v>
      </c>
      <c r="I178" s="119">
        <f>SUM(I179:I179)</f>
        <v>241029</v>
      </c>
      <c r="J178" s="120"/>
      <c r="K178" s="119">
        <f>SUM(K179:K179)</f>
        <v>0</v>
      </c>
      <c r="L178" s="152"/>
      <c r="M178" s="119">
        <f>SUM(M179:M179)</f>
        <v>241029</v>
      </c>
      <c r="N178" s="120"/>
      <c r="O178" s="119">
        <f>SUM(O179:O179)</f>
        <v>0</v>
      </c>
      <c r="P178" s="82"/>
    </row>
    <row r="179" spans="2:16" ht="17.25" x14ac:dyDescent="0.25">
      <c r="B179" s="660"/>
      <c r="C179" s="656"/>
      <c r="D179" s="656"/>
      <c r="E179" s="656"/>
      <c r="F179" s="656"/>
      <c r="G179" s="576"/>
      <c r="H179" s="577"/>
      <c r="I179" s="98">
        <f>SUM(K179+M179+O179)</f>
        <v>241029</v>
      </c>
      <c r="J179" s="99" t="str">
        <f>"(15)"</f>
        <v>(15)</v>
      </c>
      <c r="K179" s="98">
        <f>'kuni 2025 detsember tegevuskava'!X80</f>
        <v>0</v>
      </c>
      <c r="L179" s="99" t="str">
        <f>"(15)"</f>
        <v>(15)</v>
      </c>
      <c r="M179" s="98">
        <f>'kuni 2025 detsember tegevuskava'!AA80</f>
        <v>241029</v>
      </c>
      <c r="N179" s="99" t="str">
        <f>"(15)"</f>
        <v>(15)</v>
      </c>
      <c r="O179" s="98">
        <f>'kuni 2025 detsember tegevuskava'!AD80</f>
        <v>0</v>
      </c>
      <c r="P179" s="595" t="str">
        <f>"(15)"</f>
        <v>(15)</v>
      </c>
    </row>
    <row r="180" spans="2:16" ht="17.25" x14ac:dyDescent="0.25">
      <c r="B180" s="660"/>
      <c r="C180" s="656"/>
      <c r="D180" s="656"/>
      <c r="E180" s="656"/>
      <c r="F180" s="656"/>
      <c r="G180" s="576"/>
      <c r="H180" s="577"/>
      <c r="I180" s="133" t="s">
        <v>584</v>
      </c>
      <c r="J180" s="8"/>
      <c r="K180" s="8"/>
      <c r="L180" s="8"/>
      <c r="M180" s="8"/>
      <c r="N180" s="8"/>
      <c r="O180" s="8"/>
      <c r="P180" s="140"/>
    </row>
    <row r="181" spans="2:16" ht="17.25" x14ac:dyDescent="0.25">
      <c r="B181" s="660"/>
      <c r="C181" s="656"/>
      <c r="D181" s="656"/>
      <c r="E181" s="656"/>
      <c r="F181" s="656"/>
      <c r="G181" s="576"/>
      <c r="H181" s="577"/>
      <c r="I181" s="94">
        <f>SUM(I182:I182)</f>
        <v>294055.38</v>
      </c>
      <c r="J181" s="95"/>
      <c r="K181" s="88">
        <f>SUM(K182:K182)</f>
        <v>0</v>
      </c>
      <c r="L181" s="89"/>
      <c r="M181" s="94">
        <f>SUM(M182:M182)</f>
        <v>294055.38</v>
      </c>
      <c r="N181" s="100"/>
      <c r="O181" s="94">
        <f>SUM(O182:O182)</f>
        <v>0</v>
      </c>
      <c r="P181" s="121"/>
    </row>
    <row r="182" spans="2:16" ht="18" thickBot="1" x14ac:dyDescent="0.3">
      <c r="B182" s="661"/>
      <c r="C182" s="657"/>
      <c r="D182" s="657"/>
      <c r="E182" s="657"/>
      <c r="F182" s="657"/>
      <c r="G182" s="576"/>
      <c r="H182" s="577"/>
      <c r="I182" s="96">
        <f>SUM(K182+M182+O182)</f>
        <v>294055.38</v>
      </c>
      <c r="J182" s="97" t="str">
        <f>"(15)"</f>
        <v>(15)</v>
      </c>
      <c r="K182" s="578">
        <f>SUM(K179*1.2)</f>
        <v>0</v>
      </c>
      <c r="L182" s="579" t="str">
        <f>"(15)"</f>
        <v>(15)</v>
      </c>
      <c r="M182" s="96">
        <f>SUM(M179*1.22)</f>
        <v>294055.38</v>
      </c>
      <c r="N182" s="97" t="str">
        <f>"(15)"</f>
        <v>(15)</v>
      </c>
      <c r="O182" s="96">
        <f>SUM(O179*1.22)</f>
        <v>0</v>
      </c>
      <c r="P182" s="84" t="str">
        <f>"(15)"</f>
        <v>(15)</v>
      </c>
    </row>
    <row r="183" spans="2:16" ht="17.25" x14ac:dyDescent="0.25">
      <c r="B183" s="659" t="str">
        <f>'kuni 2025 detsember tegevuskava'!A81&amp;"/"&amp;'kuni 2025 detsember tegevuskava'!C81</f>
        <v>KuM/Eesti Rahvusraamatukogu</v>
      </c>
      <c r="C183" s="655" t="str">
        <f>'kuni 2025 detsember tegevuskava'!I81</f>
        <v>Kogu Eesti kultuuripärandiasutustes olev trükipärand pole digitaalsena kättesaadav. Tegu on unikaalse kollektsiooniga.</v>
      </c>
      <c r="D183" s="655" t="str">
        <f>'kuni 2025 detsember tegevuskava'!J81</f>
        <v>Väliseesti kirjandus (sh perioodika ja teaduslikud separaadid)*</v>
      </c>
      <c r="E183" s="655" t="str">
        <f>'kuni 2025 detsember tegevuskava'!K81</f>
        <v>Suure kasutajatepoolse huviga kultuuriväärtusliku trükipärandi kättesaadavus on suurenenud.</v>
      </c>
      <c r="F183" s="655" t="str">
        <f>'kuni 2025 detsember tegevuskava'!P81&amp;"/"</f>
        <v>SF 21-27 (taotletav raha)/</v>
      </c>
      <c r="G183" s="580" cm="1">
        <f t="array" ref="G183">_xlfn.IFS('kuni 2025 detsember tegevuskava'!G81='kuni 2025 detsember tegevuskava'!$G$97,1,'kuni 2025 detsember tegevuskava'!G81='kuni 2025 detsember tegevuskava'!$G$98,2,'kuni 2025 detsember tegevuskava'!G81='kuni 2025 detsember tegevuskava'!$G$99,3,'kuni 2025 detsember tegevuskava'!G81='kuni 2025 detsember tegevuskava'!$G$100,4)</f>
        <v>4</v>
      </c>
      <c r="H183" s="164" cm="1">
        <f t="array" ref="H183">_xlfn.IFS(OR('kuni 2025 detsember tegevuskava'!P81='kuni 2025 detsember tegevuskava'!$P$97,'kuni 2025 detsember tegevuskava'!P81='kuni 2025 detsember tegevuskava'!$P$99,'kuni 2025 detsember tegevuskava'!P81='kuni 2025 detsember tegevuskava'!$P$100,'kuni 2025 detsember tegevuskava'!P81='kuni 2025 detsember tegevuskava'!$P$101),1,'kuni 2025 detsember tegevuskava'!P81='kuni 2025 detsember tegevuskava'!$P$102,2,'kuni 2025 detsember tegevuskava'!P81='kuni 2025 detsember tegevuskava'!$P$103,2,'kuni 2025 detsember tegevuskava'!P81='kuni 2025 detsember tegevuskava'!$P$98,3)</f>
        <v>2</v>
      </c>
      <c r="I183" s="119">
        <f>SUM(I184:I184)</f>
        <v>550000</v>
      </c>
      <c r="J183" s="120"/>
      <c r="K183" s="119">
        <f>SUM(K184:K184)</f>
        <v>0</v>
      </c>
      <c r="L183" s="152"/>
      <c r="M183" s="119">
        <f>SUM(M184:M184)</f>
        <v>550000</v>
      </c>
      <c r="N183" s="120"/>
      <c r="O183" s="119">
        <f>SUM(O184:O184)</f>
        <v>0</v>
      </c>
      <c r="P183" s="82"/>
    </row>
    <row r="184" spans="2:16" ht="17.25" x14ac:dyDescent="0.25">
      <c r="B184" s="660"/>
      <c r="C184" s="656"/>
      <c r="D184" s="656"/>
      <c r="E184" s="656"/>
      <c r="F184" s="656"/>
      <c r="G184" s="576"/>
      <c r="H184" s="577"/>
      <c r="I184" s="98">
        <f>SUM(K184+M184+O184)</f>
        <v>550000</v>
      </c>
      <c r="J184" s="99" t="str">
        <f>"(15)"</f>
        <v>(15)</v>
      </c>
      <c r="K184" s="98">
        <f>'kuni 2025 detsember tegevuskava'!X81</f>
        <v>0</v>
      </c>
      <c r="L184" s="99" t="str">
        <f>"(15)"</f>
        <v>(15)</v>
      </c>
      <c r="M184" s="98">
        <f>'kuni 2025 detsember tegevuskava'!AA81</f>
        <v>550000</v>
      </c>
      <c r="N184" s="99" t="str">
        <f>"(15)"</f>
        <v>(15)</v>
      </c>
      <c r="O184" s="98">
        <f>'kuni 2025 detsember tegevuskava'!AD81</f>
        <v>0</v>
      </c>
      <c r="P184" s="595" t="str">
        <f>"(15)"</f>
        <v>(15)</v>
      </c>
    </row>
    <row r="185" spans="2:16" ht="17.25" x14ac:dyDescent="0.25">
      <c r="B185" s="660"/>
      <c r="C185" s="656"/>
      <c r="D185" s="656"/>
      <c r="E185" s="656"/>
      <c r="F185" s="656"/>
      <c r="G185" s="576"/>
      <c r="H185" s="577"/>
      <c r="I185" s="133" t="s">
        <v>584</v>
      </c>
      <c r="J185" s="8"/>
      <c r="K185" s="8"/>
      <c r="L185" s="8"/>
      <c r="M185" s="8"/>
      <c r="N185" s="8"/>
      <c r="O185" s="8"/>
      <c r="P185" s="140"/>
    </row>
    <row r="186" spans="2:16" ht="17.25" x14ac:dyDescent="0.25">
      <c r="B186" s="660"/>
      <c r="C186" s="656"/>
      <c r="D186" s="656"/>
      <c r="E186" s="656"/>
      <c r="F186" s="656"/>
      <c r="G186" s="576"/>
      <c r="H186" s="577"/>
      <c r="I186" s="94">
        <f>SUM(I187:I187)</f>
        <v>671000</v>
      </c>
      <c r="J186" s="95"/>
      <c r="K186" s="88">
        <f>SUM(K187:K187)</f>
        <v>0</v>
      </c>
      <c r="L186" s="89"/>
      <c r="M186" s="94">
        <f>SUM(M187:M187)</f>
        <v>671000</v>
      </c>
      <c r="N186" s="100"/>
      <c r="O186" s="94">
        <f>SUM(O187:O187)</f>
        <v>0</v>
      </c>
      <c r="P186" s="121"/>
    </row>
    <row r="187" spans="2:16" ht="18" thickBot="1" x14ac:dyDescent="0.3">
      <c r="B187" s="662"/>
      <c r="C187" s="658"/>
      <c r="D187" s="658"/>
      <c r="E187" s="658"/>
      <c r="F187" s="658"/>
      <c r="G187" s="581"/>
      <c r="H187" s="163"/>
      <c r="I187" s="117">
        <f>SUM(K187+M187+O187)</f>
        <v>671000</v>
      </c>
      <c r="J187" s="118" t="str">
        <f>"(15)"</f>
        <v>(15)</v>
      </c>
      <c r="K187" s="90">
        <f>SUM(K184*1.2)</f>
        <v>0</v>
      </c>
      <c r="L187" s="91" t="str">
        <f>"(15)"</f>
        <v>(15)</v>
      </c>
      <c r="M187" s="117">
        <f>SUM(M184*1.22)</f>
        <v>671000</v>
      </c>
      <c r="N187" s="118" t="str">
        <f>"(15)"</f>
        <v>(15)</v>
      </c>
      <c r="O187" s="117">
        <f>SUM(O184*1.22)</f>
        <v>0</v>
      </c>
      <c r="P187" s="92" t="str">
        <f>"(15)"</f>
        <v>(15)</v>
      </c>
    </row>
    <row r="188" spans="2:16" ht="17.25" x14ac:dyDescent="0.25">
      <c r="B188" s="659" t="str">
        <f>'kuni 2025 detsember tegevuskava'!A82&amp;"/"&amp;'kuni 2025 detsember tegevuskava'!C82</f>
        <v>KuM/Eesti Rahvusraamatukogu</v>
      </c>
      <c r="C188" s="655" t="str">
        <f>'kuni 2025 detsember tegevuskava'!I82</f>
        <v>Hetkel on kasutusel kolm erinevat raamatukogu süsteemi, teenus on killustunud, dubleeriv ja kallis, ega vasta kasutajate ootustele. Tegu on VVTP tegevusega.</v>
      </c>
      <c r="D188" s="655" t="str">
        <f>'kuni 2025 detsember tegevuskava'!J82</f>
        <v>Ühtne üleriigiline raamatukogusüsteem: e-kataloogi arendus + karbitoote ost ja juurutamine*</v>
      </c>
      <c r="E188" s="655" t="str">
        <f>'kuni 2025 detsember tegevuskava'!K82</f>
        <v>Ühtne üleriigiline raamatukogusüsteem on kasutusele võetud Eesti Rahvusraamatukogus ja kõigis Eesti rahvaraamatukogudes. Projekti lõppedes on võimekus ja ootus, et süsteemiga ühenevad ülejäänud avalikku teenust pakkuvad raamatukogud (teadus- ja erialaraamatukogud, kooliraamatukogud).</v>
      </c>
      <c r="F188" s="655" t="str">
        <f>'kuni 2025 detsember tegevuskava'!P82&amp;"/"</f>
        <v>SF 21-27 (taotletav raha)/</v>
      </c>
      <c r="G188" s="580" cm="1">
        <f t="array" ref="G188">_xlfn.IFS('kuni 2025 detsember tegevuskava'!G82='kuni 2025 detsember tegevuskava'!$G$97,1,'kuni 2025 detsember tegevuskava'!G82='kuni 2025 detsember tegevuskava'!$G$98,2,'kuni 2025 detsember tegevuskava'!G82='kuni 2025 detsember tegevuskava'!$G$99,3,'kuni 2025 detsember tegevuskava'!G82='kuni 2025 detsember tegevuskava'!$G$100,4)</f>
        <v>1</v>
      </c>
      <c r="H188" s="164" cm="1">
        <f t="array" ref="H188">_xlfn.IFS(OR('kuni 2025 detsember tegevuskava'!P82='kuni 2025 detsember tegevuskava'!$P$97,'kuni 2025 detsember tegevuskava'!P82='kuni 2025 detsember tegevuskava'!$P$99,'kuni 2025 detsember tegevuskava'!P82='kuni 2025 detsember tegevuskava'!$P$100,'kuni 2025 detsember tegevuskava'!P82='kuni 2025 detsember tegevuskava'!$P$101),1,'kuni 2025 detsember tegevuskava'!P82='kuni 2025 detsember tegevuskava'!$P$102,2,'kuni 2025 detsember tegevuskava'!P82='kuni 2025 detsember tegevuskava'!$P$103,2,'kuni 2025 detsember tegevuskava'!P82='kuni 2025 detsember tegevuskava'!$P$98,3)</f>
        <v>2</v>
      </c>
      <c r="I188" s="119">
        <f>SUM(I189:I189)</f>
        <v>642270</v>
      </c>
      <c r="J188" s="120"/>
      <c r="K188" s="119">
        <f>SUM(K189:K189)</f>
        <v>0</v>
      </c>
      <c r="L188" s="152"/>
      <c r="M188" s="119">
        <f>SUM(M189:M189)</f>
        <v>0</v>
      </c>
      <c r="N188" s="120"/>
      <c r="O188" s="119">
        <f>SUM(O189:O189)</f>
        <v>642270</v>
      </c>
      <c r="P188" s="82"/>
    </row>
    <row r="189" spans="2:16" ht="17.25" x14ac:dyDescent="0.25">
      <c r="B189" s="660"/>
      <c r="C189" s="656"/>
      <c r="D189" s="656"/>
      <c r="E189" s="656"/>
      <c r="F189" s="656"/>
      <c r="G189" s="576"/>
      <c r="H189" s="577"/>
      <c r="I189" s="98">
        <f>SUM(K189+M189+O189)</f>
        <v>642270</v>
      </c>
      <c r="J189" s="99" t="str">
        <f>"(15)"</f>
        <v>(15)</v>
      </c>
      <c r="K189" s="98">
        <f>'kuni 2025 detsember tegevuskava'!X82</f>
        <v>0</v>
      </c>
      <c r="L189" s="99" t="str">
        <f>"(15)"</f>
        <v>(15)</v>
      </c>
      <c r="M189" s="98">
        <f>'kuni 2025 detsember tegevuskava'!AA82</f>
        <v>0</v>
      </c>
      <c r="N189" s="99" t="str">
        <f>"(15)"</f>
        <v>(15)</v>
      </c>
      <c r="O189" s="98">
        <f>'kuni 2025 detsember tegevuskava'!AD82</f>
        <v>642270</v>
      </c>
      <c r="P189" s="595" t="str">
        <f>"(15)"</f>
        <v>(15)</v>
      </c>
    </row>
    <row r="190" spans="2:16" ht="17.25" x14ac:dyDescent="0.25">
      <c r="B190" s="660"/>
      <c r="C190" s="656"/>
      <c r="D190" s="656"/>
      <c r="E190" s="656"/>
      <c r="F190" s="656"/>
      <c r="G190" s="576"/>
      <c r="H190" s="577"/>
      <c r="I190" s="133" t="s">
        <v>584</v>
      </c>
      <c r="J190" s="8"/>
      <c r="K190" s="8"/>
      <c r="L190" s="8"/>
      <c r="M190" s="8"/>
      <c r="N190" s="8"/>
      <c r="O190" s="8"/>
      <c r="P190" s="140"/>
    </row>
    <row r="191" spans="2:16" ht="17.25" x14ac:dyDescent="0.25">
      <c r="B191" s="660"/>
      <c r="C191" s="656"/>
      <c r="D191" s="656"/>
      <c r="E191" s="656"/>
      <c r="F191" s="656"/>
      <c r="G191" s="576"/>
      <c r="H191" s="577"/>
      <c r="I191" s="94">
        <f>SUM(I192:I192)</f>
        <v>783569.4</v>
      </c>
      <c r="J191" s="95"/>
      <c r="K191" s="88">
        <f>SUM(K192:K192)</f>
        <v>0</v>
      </c>
      <c r="L191" s="89"/>
      <c r="M191" s="94">
        <f>SUM(M192:M192)</f>
        <v>0</v>
      </c>
      <c r="N191" s="100"/>
      <c r="O191" s="94">
        <f>SUM(O192:O192)</f>
        <v>783569.4</v>
      </c>
      <c r="P191" s="121"/>
    </row>
    <row r="192" spans="2:16" ht="86.25" customHeight="1" thickBot="1" x14ac:dyDescent="0.3">
      <c r="B192" s="661"/>
      <c r="C192" s="657"/>
      <c r="D192" s="657"/>
      <c r="E192" s="657"/>
      <c r="F192" s="657"/>
      <c r="G192" s="576"/>
      <c r="H192" s="577"/>
      <c r="I192" s="96">
        <f>SUM(K192+M192+O192)</f>
        <v>783569.4</v>
      </c>
      <c r="J192" s="97" t="str">
        <f>"(15)"</f>
        <v>(15)</v>
      </c>
      <c r="K192" s="578">
        <f>SUM(K189*1.2)</f>
        <v>0</v>
      </c>
      <c r="L192" s="579" t="str">
        <f>"(15)"</f>
        <v>(15)</v>
      </c>
      <c r="M192" s="96">
        <f>SUM(M189*1.22)</f>
        <v>0</v>
      </c>
      <c r="N192" s="97" t="str">
        <f>"(15)"</f>
        <v>(15)</v>
      </c>
      <c r="O192" s="96">
        <f>SUM(O189*1.22)</f>
        <v>783569.4</v>
      </c>
      <c r="P192" s="84" t="str">
        <f>"(15)"</f>
        <v>(15)</v>
      </c>
    </row>
    <row r="193" spans="2:16" ht="17.25" x14ac:dyDescent="0.25">
      <c r="B193" s="659" t="str">
        <f>'kuni 2025 detsember tegevuskava'!A83&amp;"/"&amp;'kuni 2025 detsember tegevuskava'!C83</f>
        <v>KuM/Eesti Rahvusraamatukogu</v>
      </c>
      <c r="C193" s="655" t="str">
        <f>'kuni 2025 detsember tegevuskava'!I83</f>
        <v>Luua seni puuduvad võimalused digitaalse kultuuripärandi uurimiseks, rikastamiseks ning taas- ja ristkasutamiseks, nii üksikute teoste kui suuremate kogumite tasemel</v>
      </c>
      <c r="D193" s="655" t="str">
        <f>'kuni 2025 detsember tegevuskava'!J83</f>
        <v>DIGARi andme- ja kodanikuteaduse arendusetapp</v>
      </c>
      <c r="E193" s="655" t="str">
        <f>'kuni 2025 detsember tegevuskava'!K83</f>
        <v xml:space="preserve">Kasutusele on võetud teadlaste vajadusi ja ootuseid silmas pidav DIGARi teadlase vaade, mille lisafunktsionaalsused võimaldavad eesrakenduses muuhulgas otsitulemusi visualiseerida, väiksemate andmehulkade eksporti, ainese annoteerimist ja märksõnastamist ning kasutajate kaasamist erinevatesse ühisloome projektidesse. </v>
      </c>
      <c r="F193" s="655" t="str">
        <f>'kuni 2025 detsember tegevuskava'!P83&amp;"/"</f>
        <v>SF 21-27 (taotletav raha)/</v>
      </c>
      <c r="G193" s="580" cm="1">
        <f t="array" ref="G193">_xlfn.IFS('kuni 2025 detsember tegevuskava'!G83='kuni 2025 detsember tegevuskava'!$G$97,1,'kuni 2025 detsember tegevuskava'!G83='kuni 2025 detsember tegevuskava'!$G$98,2,'kuni 2025 detsember tegevuskava'!G83='kuni 2025 detsember tegevuskava'!$G$99,3,'kuni 2025 detsember tegevuskava'!G83='kuni 2025 detsember tegevuskava'!$G$100,4)</f>
        <v>1</v>
      </c>
      <c r="H193" s="164" cm="1">
        <f t="array" ref="H193">_xlfn.IFS(OR('kuni 2025 detsember tegevuskava'!P83='kuni 2025 detsember tegevuskava'!$P$97,'kuni 2025 detsember tegevuskava'!P83='kuni 2025 detsember tegevuskava'!$P$99,'kuni 2025 detsember tegevuskava'!P83='kuni 2025 detsember tegevuskava'!$P$100,'kuni 2025 detsember tegevuskava'!P83='kuni 2025 detsember tegevuskava'!$P$101),1,'kuni 2025 detsember tegevuskava'!P83='kuni 2025 detsember tegevuskava'!$P$102,2,'kuni 2025 detsember tegevuskava'!P83='kuni 2025 detsember tegevuskava'!$P$103,2,'kuni 2025 detsember tegevuskava'!P83='kuni 2025 detsember tegevuskava'!$P$98,3)</f>
        <v>2</v>
      </c>
      <c r="I193" s="119">
        <f>SUM(I194:I194)</f>
        <v>204500</v>
      </c>
      <c r="J193" s="120"/>
      <c r="K193" s="119">
        <f>SUM(K194:K194)</f>
        <v>0</v>
      </c>
      <c r="L193" s="152"/>
      <c r="M193" s="119">
        <f>SUM(M194:M194)</f>
        <v>0</v>
      </c>
      <c r="N193" s="120"/>
      <c r="O193" s="119">
        <f>SUM(O194:O194)</f>
        <v>204500</v>
      </c>
      <c r="P193" s="82"/>
    </row>
    <row r="194" spans="2:16" ht="17.25" x14ac:dyDescent="0.25">
      <c r="B194" s="660"/>
      <c r="C194" s="656"/>
      <c r="D194" s="656"/>
      <c r="E194" s="656"/>
      <c r="F194" s="656"/>
      <c r="G194" s="576"/>
      <c r="H194" s="577"/>
      <c r="I194" s="98">
        <f>SUM(K194+M194+O194)</f>
        <v>204500</v>
      </c>
      <c r="J194" s="99" t="str">
        <f>"(15)"</f>
        <v>(15)</v>
      </c>
      <c r="K194" s="98">
        <f>'kuni 2025 detsember tegevuskava'!X83</f>
        <v>0</v>
      </c>
      <c r="L194" s="99" t="str">
        <f>"(15)"</f>
        <v>(15)</v>
      </c>
      <c r="M194" s="98">
        <f>'kuni 2025 detsember tegevuskava'!AA83</f>
        <v>0</v>
      </c>
      <c r="N194" s="99" t="str">
        <f>"(15)"</f>
        <v>(15)</v>
      </c>
      <c r="O194" s="98">
        <f>'kuni 2025 detsember tegevuskava'!AD83</f>
        <v>204500</v>
      </c>
      <c r="P194" s="595" t="str">
        <f>"(15)"</f>
        <v>(15)</v>
      </c>
    </row>
    <row r="195" spans="2:16" ht="17.25" x14ac:dyDescent="0.25">
      <c r="B195" s="660"/>
      <c r="C195" s="656"/>
      <c r="D195" s="656"/>
      <c r="E195" s="656"/>
      <c r="F195" s="656"/>
      <c r="G195" s="576"/>
      <c r="H195" s="577"/>
      <c r="I195" s="133" t="s">
        <v>584</v>
      </c>
      <c r="J195" s="8"/>
      <c r="K195" s="8"/>
      <c r="L195" s="8"/>
      <c r="M195" s="8"/>
      <c r="N195" s="8"/>
      <c r="O195" s="8"/>
      <c r="P195" s="140"/>
    </row>
    <row r="196" spans="2:16" ht="17.25" x14ac:dyDescent="0.25">
      <c r="B196" s="660"/>
      <c r="C196" s="656"/>
      <c r="D196" s="656"/>
      <c r="E196" s="656"/>
      <c r="F196" s="656"/>
      <c r="G196" s="576"/>
      <c r="H196" s="577"/>
      <c r="I196" s="94">
        <f>SUM(I197:I197)</f>
        <v>249490</v>
      </c>
      <c r="J196" s="95"/>
      <c r="K196" s="88">
        <f>SUM(K197:K197)</f>
        <v>0</v>
      </c>
      <c r="L196" s="89"/>
      <c r="M196" s="94">
        <f>SUM(M197:M197)</f>
        <v>0</v>
      </c>
      <c r="N196" s="100"/>
      <c r="O196" s="94">
        <f>SUM(O197:O197)</f>
        <v>249490</v>
      </c>
      <c r="P196" s="121"/>
    </row>
    <row r="197" spans="2:16" ht="105.75" customHeight="1" thickBot="1" x14ac:dyDescent="0.3">
      <c r="B197" s="661"/>
      <c r="C197" s="657"/>
      <c r="D197" s="657"/>
      <c r="E197" s="657"/>
      <c r="F197" s="657"/>
      <c r="G197" s="576"/>
      <c r="H197" s="577"/>
      <c r="I197" s="96">
        <f>SUM(K197+M197+O197)</f>
        <v>249490</v>
      </c>
      <c r="J197" s="97" t="str">
        <f>"(15)"</f>
        <v>(15)</v>
      </c>
      <c r="K197" s="578">
        <f>SUM(K194*1.2)</f>
        <v>0</v>
      </c>
      <c r="L197" s="579" t="str">
        <f>"(15)"</f>
        <v>(15)</v>
      </c>
      <c r="M197" s="96">
        <f>SUM(M194*1.22)</f>
        <v>0</v>
      </c>
      <c r="N197" s="97" t="str">
        <f>"(15)"</f>
        <v>(15)</v>
      </c>
      <c r="O197" s="96">
        <f>SUM(O194*1.22)</f>
        <v>249490</v>
      </c>
      <c r="P197" s="84" t="str">
        <f>"(15)"</f>
        <v>(15)</v>
      </c>
    </row>
    <row r="198" spans="2:16" ht="17.25" x14ac:dyDescent="0.25">
      <c r="B198" s="659" t="str">
        <f>'kuni 2025 detsember tegevuskava'!A84&amp;"/"&amp;'kuni 2025 detsember tegevuskava'!C84</f>
        <v>KuM/Muinsuskaitseamet</v>
      </c>
      <c r="C198" s="655" t="str">
        <f>'kuni 2025 detsember tegevuskava'!I84</f>
        <v>Euroopa Komisjon on seadnud aastaks 2030 liikmesriikidele eesmärgid (https://digital-strategy.ec.europa.eu/en/news/commission-proposes-common-european-data-space-cultural-heritage), kui suur osa ehitus- ja esemepärandist tuleks 3D digida, kuid Eestis puudub ülevaade ja kriteeriumid, mille alusel hinnata pärandi ohustatust ja valmisolekut 3D digimiseks.</v>
      </c>
      <c r="D198" s="655" t="str">
        <f>'kuni 2025 detsember tegevuskava'!J84</f>
        <v>Ehitus- ja esmepärandi ohustatuse ja digimise valmisoleku analüüs</v>
      </c>
      <c r="E198" s="655" t="str">
        <f>'kuni 2025 detsember tegevuskava'!K84</f>
        <v>Kokku on lepitud kriteeriumid, mille alusel hinnata ehitus- ja esemepärandi 3D digimise vajadust, prioriteete. Valminud on ülevaade ohustatud pärandist. Kokku on lepitud, millistele kriteeriumitele peavad vastama ehitus- ja esemepärandi 3D mudelid, kus need kättesaadavaks tehakse ja kuidas pikaajaliselt säilitatakse.</v>
      </c>
      <c r="F198" s="655" t="str">
        <f>'kuni 2025 detsember tegevuskava'!P84&amp;"/"</f>
        <v>SF 21-27 (taotletav raha)/</v>
      </c>
      <c r="G198" s="580" cm="1">
        <f t="array" ref="G198">_xlfn.IFS('kuni 2025 detsember tegevuskava'!G84='kuni 2025 detsember tegevuskava'!$G$97,1,'kuni 2025 detsember tegevuskava'!G84='kuni 2025 detsember tegevuskava'!$G$98,2,'kuni 2025 detsember tegevuskava'!G84='kuni 2025 detsember tegevuskava'!$G$99,3,'kuni 2025 detsember tegevuskava'!G84='kuni 2025 detsember tegevuskava'!$G$100,4)</f>
        <v>4</v>
      </c>
      <c r="H198" s="164" cm="1">
        <f t="array" ref="H198">_xlfn.IFS(OR('kuni 2025 detsember tegevuskava'!P84='kuni 2025 detsember tegevuskava'!$P$97,'kuni 2025 detsember tegevuskava'!P84='kuni 2025 detsember tegevuskava'!$P$99,'kuni 2025 detsember tegevuskava'!P84='kuni 2025 detsember tegevuskava'!$P$100,'kuni 2025 detsember tegevuskava'!P84='kuni 2025 detsember tegevuskava'!$P$101),1,'kuni 2025 detsember tegevuskava'!P84='kuni 2025 detsember tegevuskava'!$P$102,2,'kuni 2025 detsember tegevuskava'!P84='kuni 2025 detsember tegevuskava'!$P$103,2,'kuni 2025 detsember tegevuskava'!P84='kuni 2025 detsember tegevuskava'!$P$98,3)</f>
        <v>2</v>
      </c>
      <c r="I198" s="119">
        <f>SUM(I199:I199)</f>
        <v>40000</v>
      </c>
      <c r="J198" s="120"/>
      <c r="K198" s="119">
        <f>SUM(K199:K199)</f>
        <v>0</v>
      </c>
      <c r="L198" s="152"/>
      <c r="M198" s="119">
        <f>SUM(M199:M199)</f>
        <v>40000</v>
      </c>
      <c r="N198" s="120"/>
      <c r="O198" s="119">
        <f>SUM(O199:O199)</f>
        <v>0</v>
      </c>
      <c r="P198" s="82"/>
    </row>
    <row r="199" spans="2:16" ht="17.25" x14ac:dyDescent="0.25">
      <c r="B199" s="660"/>
      <c r="C199" s="656"/>
      <c r="D199" s="656"/>
      <c r="E199" s="656"/>
      <c r="F199" s="656"/>
      <c r="G199" s="576"/>
      <c r="H199" s="577"/>
      <c r="I199" s="98">
        <f>SUM(K199+M199+O199)</f>
        <v>40000</v>
      </c>
      <c r="J199" s="99" t="str">
        <f>"(50)"</f>
        <v>(50)</v>
      </c>
      <c r="K199" s="98">
        <f>'kuni 2025 detsember tegevuskava'!Y84</f>
        <v>0</v>
      </c>
      <c r="L199" s="99" t="str">
        <f>"(50)"</f>
        <v>(50)</v>
      </c>
      <c r="M199" s="98">
        <f>'kuni 2025 detsember tegevuskava'!AB84</f>
        <v>40000</v>
      </c>
      <c r="N199" s="99" t="str">
        <f>"(50)"</f>
        <v>(50)</v>
      </c>
      <c r="O199" s="98">
        <f>'kuni 2025 detsember tegevuskava'!AE84</f>
        <v>0</v>
      </c>
      <c r="P199" s="595" t="str">
        <f>"(50)"</f>
        <v>(50)</v>
      </c>
    </row>
    <row r="200" spans="2:16" ht="17.25" x14ac:dyDescent="0.25">
      <c r="B200" s="660"/>
      <c r="C200" s="656"/>
      <c r="D200" s="656"/>
      <c r="E200" s="656"/>
      <c r="F200" s="656"/>
      <c r="G200" s="576"/>
      <c r="H200" s="577"/>
      <c r="I200" s="133" t="s">
        <v>584</v>
      </c>
      <c r="J200" s="8"/>
      <c r="K200" s="8"/>
      <c r="L200" s="8"/>
      <c r="M200" s="8"/>
      <c r="N200" s="8"/>
      <c r="O200" s="8"/>
      <c r="P200" s="140"/>
    </row>
    <row r="201" spans="2:16" ht="17.25" x14ac:dyDescent="0.25">
      <c r="B201" s="660"/>
      <c r="C201" s="656"/>
      <c r="D201" s="656"/>
      <c r="E201" s="656"/>
      <c r="F201" s="656"/>
      <c r="G201" s="576"/>
      <c r="H201" s="577"/>
      <c r="I201" s="94">
        <f>SUM(I202:I202)</f>
        <v>40000</v>
      </c>
      <c r="J201" s="95"/>
      <c r="K201" s="88">
        <f>SUM(K202:K202)</f>
        <v>0</v>
      </c>
      <c r="L201" s="89"/>
      <c r="M201" s="94">
        <f>SUM(M202:M202)</f>
        <v>40000</v>
      </c>
      <c r="N201" s="100"/>
      <c r="O201" s="94">
        <f>SUM(O202:O202)</f>
        <v>0</v>
      </c>
      <c r="P201" s="121"/>
    </row>
    <row r="202" spans="2:16" ht="97.5" customHeight="1" thickBot="1" x14ac:dyDescent="0.3">
      <c r="B202" s="661"/>
      <c r="C202" s="657"/>
      <c r="D202" s="657"/>
      <c r="E202" s="657"/>
      <c r="F202" s="657"/>
      <c r="G202" s="576"/>
      <c r="H202" s="577"/>
      <c r="I202" s="96">
        <f>SUM(K202+M202+O202)</f>
        <v>40000</v>
      </c>
      <c r="J202" s="97" t="str">
        <f>"(50)"</f>
        <v>(50)</v>
      </c>
      <c r="K202" s="578">
        <f>K199</f>
        <v>0</v>
      </c>
      <c r="L202" s="579" t="str">
        <f>"(50)"</f>
        <v>(50)</v>
      </c>
      <c r="M202" s="96">
        <f>M199</f>
        <v>40000</v>
      </c>
      <c r="N202" s="97" t="str">
        <f>"(50)"</f>
        <v>(50)</v>
      </c>
      <c r="O202" s="96">
        <f>O199</f>
        <v>0</v>
      </c>
      <c r="P202" s="84" t="str">
        <f>"(50)"</f>
        <v>(50)</v>
      </c>
    </row>
    <row r="203" spans="2:16" ht="17.25" x14ac:dyDescent="0.25">
      <c r="B203" s="659" t="str">
        <f>'kuni 2025 detsember tegevuskava'!A85&amp;"/"&amp;'kuni 2025 detsember tegevuskava'!C85</f>
        <v>KuM/Rahvusarhiiv</v>
      </c>
      <c r="C203" s="655" t="str">
        <f>'kuni 2025 detsember tegevuskava'!I85</f>
        <v>Eesti mäluasutuste kogudes on väga palju fotopärandit, mille olemasolu või seisukord pole selge. Samas on fotopärand üks suurima kasutushuvi ja -potentsiaaliga pärandiliik. Samuti on fotonegatiivid väga kergesti hävivad. Fotopärandi seisukord tuleb tuvastada ja hinnata, misjärel on võimalik kavandada selle digimine, digitaalselt kättesaadavaks tegemine ja pikaajaline säilitamine.</v>
      </c>
      <c r="D203" s="655" t="str">
        <f>'kuni 2025 detsember tegevuskava'!J85</f>
        <v>Fotopärandi hetkeolukorra analüüs</v>
      </c>
      <c r="E203" s="655" t="str">
        <f>'kuni 2025 detsember tegevuskava'!K85</f>
        <v>Välja on selgitatud unikaalsefotopärandi olukord mäluasutuste kogudes. Antud on hinnang fotopärandi digiteerimisvajadusele ja digimist vajav fotopärand on digimiseks ettevalmistatud.</v>
      </c>
      <c r="F203" s="655" t="str">
        <f>'kuni 2025 detsember tegevuskava'!P85&amp;"/"</f>
        <v>SF 21-27 (taotletav raha)/</v>
      </c>
      <c r="G203" s="580" cm="1">
        <f t="array" ref="G203">_xlfn.IFS('kuni 2025 detsember tegevuskava'!G85='kuni 2025 detsember tegevuskava'!$G$97,1,'kuni 2025 detsember tegevuskava'!G85='kuni 2025 detsember tegevuskava'!$G$98,2,'kuni 2025 detsember tegevuskava'!G85='kuni 2025 detsember tegevuskava'!$G$99,3,'kuni 2025 detsember tegevuskava'!G85='kuni 2025 detsember tegevuskava'!$G$100,4)</f>
        <v>4</v>
      </c>
      <c r="H203" s="164" cm="1">
        <f t="array" ref="H203">_xlfn.IFS(OR('kuni 2025 detsember tegevuskava'!P85='kuni 2025 detsember tegevuskava'!$P$97,'kuni 2025 detsember tegevuskava'!P85='kuni 2025 detsember tegevuskava'!$P$99,'kuni 2025 detsember tegevuskava'!P85='kuni 2025 detsember tegevuskava'!$P$100,'kuni 2025 detsember tegevuskava'!P85='kuni 2025 detsember tegevuskava'!$P$101),1,'kuni 2025 detsember tegevuskava'!P85='kuni 2025 detsember tegevuskava'!$P$102,2,'kuni 2025 detsember tegevuskava'!P85='kuni 2025 detsember tegevuskava'!$P$103,2,'kuni 2025 detsember tegevuskava'!P85='kuni 2025 detsember tegevuskava'!$P$98,3)</f>
        <v>2</v>
      </c>
      <c r="I203" s="119">
        <f>SUM(I204:I204)</f>
        <v>60000</v>
      </c>
      <c r="J203" s="120"/>
      <c r="K203" s="119">
        <f>SUM(K204:K204)</f>
        <v>0</v>
      </c>
      <c r="L203" s="152"/>
      <c r="M203" s="119">
        <f>SUM(M204:M204)</f>
        <v>0</v>
      </c>
      <c r="N203" s="120"/>
      <c r="O203" s="119">
        <f>SUM(O204:O204)</f>
        <v>60000</v>
      </c>
      <c r="P203" s="82"/>
    </row>
    <row r="204" spans="2:16" ht="17.25" x14ac:dyDescent="0.25">
      <c r="B204" s="660"/>
      <c r="C204" s="656"/>
      <c r="D204" s="656"/>
      <c r="E204" s="656"/>
      <c r="F204" s="656"/>
      <c r="G204" s="576"/>
      <c r="H204" s="577"/>
      <c r="I204" s="98">
        <f>SUM(K204+M204+O204)</f>
        <v>60000</v>
      </c>
      <c r="J204" s="99" t="str">
        <f>"(50)"</f>
        <v>(50)</v>
      </c>
      <c r="K204" s="98">
        <f>'kuni 2025 detsember tegevuskava'!Y85</f>
        <v>0</v>
      </c>
      <c r="L204" s="99" t="str">
        <f>"(50)"</f>
        <v>(50)</v>
      </c>
      <c r="M204" s="98">
        <f>'kuni 2025 detsember tegevuskava'!AB85</f>
        <v>0</v>
      </c>
      <c r="N204" s="99" t="str">
        <f>"(50)"</f>
        <v>(50)</v>
      </c>
      <c r="O204" s="98">
        <f>'kuni 2025 detsember tegevuskava'!AE85</f>
        <v>60000</v>
      </c>
      <c r="P204" s="595" t="str">
        <f>"(50)"</f>
        <v>(50)</v>
      </c>
    </row>
    <row r="205" spans="2:16" ht="17.25" x14ac:dyDescent="0.25">
      <c r="B205" s="660"/>
      <c r="C205" s="656"/>
      <c r="D205" s="656"/>
      <c r="E205" s="656"/>
      <c r="F205" s="656"/>
      <c r="G205" s="576"/>
      <c r="H205" s="577"/>
      <c r="I205" s="133" t="s">
        <v>584</v>
      </c>
      <c r="J205" s="8"/>
      <c r="K205" s="8"/>
      <c r="L205" s="8"/>
      <c r="M205" s="8"/>
      <c r="N205" s="8"/>
      <c r="O205" s="8"/>
      <c r="P205" s="140"/>
    </row>
    <row r="206" spans="2:16" ht="17.25" x14ac:dyDescent="0.25">
      <c r="B206" s="660"/>
      <c r="C206" s="656"/>
      <c r="D206" s="656"/>
      <c r="E206" s="656"/>
      <c r="F206" s="656"/>
      <c r="G206" s="576"/>
      <c r="H206" s="577"/>
      <c r="I206" s="94">
        <f>SUM(I207:I207)</f>
        <v>60000</v>
      </c>
      <c r="J206" s="95"/>
      <c r="K206" s="88">
        <f>SUM(K207:K207)</f>
        <v>0</v>
      </c>
      <c r="L206" s="89"/>
      <c r="M206" s="94">
        <f>SUM(M207:M207)</f>
        <v>0</v>
      </c>
      <c r="N206" s="100"/>
      <c r="O206" s="94">
        <f>SUM(O207:O207)</f>
        <v>60000</v>
      </c>
      <c r="P206" s="121"/>
    </row>
    <row r="207" spans="2:16" ht="73.5" customHeight="1" thickBot="1" x14ac:dyDescent="0.3">
      <c r="B207" s="661"/>
      <c r="C207" s="657"/>
      <c r="D207" s="657"/>
      <c r="E207" s="657"/>
      <c r="F207" s="657"/>
      <c r="G207" s="576"/>
      <c r="H207" s="577"/>
      <c r="I207" s="96">
        <f>SUM(K207+M207+O207)</f>
        <v>60000</v>
      </c>
      <c r="J207" s="97" t="str">
        <f>"(50)"</f>
        <v>(50)</v>
      </c>
      <c r="K207" s="578">
        <f>K204</f>
        <v>0</v>
      </c>
      <c r="L207" s="579" t="str">
        <f>"(50)"</f>
        <v>(50)</v>
      </c>
      <c r="M207" s="96">
        <f>M204</f>
        <v>0</v>
      </c>
      <c r="N207" s="97" t="str">
        <f>"(50)"</f>
        <v>(50)</v>
      </c>
      <c r="O207" s="96">
        <f>O204</f>
        <v>60000</v>
      </c>
      <c r="P207" s="84" t="str">
        <f>"(50)"</f>
        <v>(50)</v>
      </c>
    </row>
    <row r="208" spans="2:16" ht="17.25" x14ac:dyDescent="0.25">
      <c r="B208" s="659" t="str">
        <f>'kuni 2025 detsember tegevuskava'!A86&amp;"/"&amp;'kuni 2025 detsember tegevuskava'!C86</f>
        <v>KuM/Eesti Rahvusringhääling</v>
      </c>
      <c r="C208" s="655" t="str">
        <f>'kuni 2025 detsember tegevuskava'!I86</f>
        <v>Kogu Eesti kultuuripärandiasutustes olev filmipärand pole digitaalsena kättesaadav. 2023. a lõpuks oli kättesaadav 56% filmipärandist. Samuti on materjail suur säilitusvajadus, kuna filmilindid on kiiresti hävinev kandjaliik. 2023. aasta lõpuks oli kogu kultuuripärandist 42% digitaalsena kättesaadav.</v>
      </c>
      <c r="D208" s="655" t="str">
        <f>'kuni 2025 detsember tegevuskava'!J86</f>
        <v>Kultuuripärandi digiteerimine: 
1. Eesti Telefilmi 16 mm filmide digimine
2. Eesti Telefilmi 16 mm ja 35 mm filmide magnetheli digimine</v>
      </c>
      <c r="E208" s="655" t="str">
        <f>'kuni 2025 detsember tegevuskava'!K86</f>
        <v>Suure kasutajatepoolse huviga kultuuriväärtusliku filmipärandi kättesaadavus on suurenenud 70%-ni. Filmipärand on pikaajaliselt säilitatud. Kogu kultuuripärandist on digitaalsena kättesaadav 55%.</v>
      </c>
      <c r="F208" s="655" t="str">
        <f>'kuni 2025 detsember tegevuskava'!P86&amp;"/"</f>
        <v>SF 21-27 (taotletav raha)/</v>
      </c>
      <c r="G208" s="580" cm="1">
        <f t="array" ref="G208">_xlfn.IFS('kuni 2025 detsember tegevuskava'!G86='kuni 2025 detsember tegevuskava'!$G$97,1,'kuni 2025 detsember tegevuskava'!G86='kuni 2025 detsember tegevuskava'!$G$98,2,'kuni 2025 detsember tegevuskava'!G86='kuni 2025 detsember tegevuskava'!$G$99,3,'kuni 2025 detsember tegevuskava'!G86='kuni 2025 detsember tegevuskava'!$G$100,4)</f>
        <v>4</v>
      </c>
      <c r="H208" s="164" cm="1">
        <f t="array" ref="H208">_xlfn.IFS(OR('kuni 2025 detsember tegevuskava'!P86='kuni 2025 detsember tegevuskava'!$P$97,'kuni 2025 detsember tegevuskava'!P86='kuni 2025 detsember tegevuskava'!$P$99,'kuni 2025 detsember tegevuskava'!P86='kuni 2025 detsember tegevuskava'!$P$100,'kuni 2025 detsember tegevuskava'!P86='kuni 2025 detsember tegevuskava'!$P$101),1,'kuni 2025 detsember tegevuskava'!P86='kuni 2025 detsember tegevuskava'!$P$102,2,'kuni 2025 detsember tegevuskava'!P86='kuni 2025 detsember tegevuskava'!$P$103,2,'kuni 2025 detsember tegevuskava'!P86='kuni 2025 detsember tegevuskava'!$P$98,3)</f>
        <v>2</v>
      </c>
      <c r="I208" s="119">
        <f>SUM(I209:I209)</f>
        <v>250000</v>
      </c>
      <c r="J208" s="120"/>
      <c r="K208" s="78">
        <f>SUM(K209:K209)</f>
        <v>0</v>
      </c>
      <c r="L208" s="80"/>
      <c r="M208" s="119">
        <f>SUM(M209:M209)</f>
        <v>0</v>
      </c>
      <c r="N208" s="120"/>
      <c r="O208" s="78">
        <f>SUM(O209:O209)</f>
        <v>250000</v>
      </c>
      <c r="P208" s="82"/>
    </row>
    <row r="209" spans="2:16" ht="17.25" x14ac:dyDescent="0.25">
      <c r="B209" s="660"/>
      <c r="C209" s="656"/>
      <c r="D209" s="656"/>
      <c r="E209" s="656"/>
      <c r="F209" s="656"/>
      <c r="G209" s="576"/>
      <c r="H209" s="577"/>
      <c r="I209" s="96">
        <f>SUM(K209+M209+O209)</f>
        <v>250000</v>
      </c>
      <c r="J209" s="97" t="str">
        <f>"(15)"</f>
        <v>(15)</v>
      </c>
      <c r="K209" s="578">
        <f>'kuni 2025 detsember tegevuskava'!X86</f>
        <v>0</v>
      </c>
      <c r="L209" s="579" t="str">
        <f>"(15)"</f>
        <v>(15)</v>
      </c>
      <c r="M209" s="96">
        <f>'kuni 2025 detsember tegevuskava'!AA86</f>
        <v>0</v>
      </c>
      <c r="N209" s="97" t="str">
        <f>"(15)"</f>
        <v>(15)</v>
      </c>
      <c r="O209" s="578">
        <f>'kuni 2025 detsember tegevuskava'!AD86</f>
        <v>250000</v>
      </c>
      <c r="P209" s="84" t="str">
        <f>"(15)"</f>
        <v>(15)</v>
      </c>
    </row>
    <row r="210" spans="2:16" ht="17.25" x14ac:dyDescent="0.25">
      <c r="B210" s="660"/>
      <c r="C210" s="656"/>
      <c r="D210" s="656"/>
      <c r="E210" s="656"/>
      <c r="F210" s="656"/>
      <c r="G210" s="576"/>
      <c r="H210" s="577"/>
      <c r="I210" s="159" t="s">
        <v>584</v>
      </c>
      <c r="J210" s="165"/>
      <c r="K210" s="165"/>
      <c r="L210" s="165"/>
      <c r="M210" s="165"/>
      <c r="N210" s="165"/>
      <c r="O210" s="165"/>
      <c r="P210" s="166"/>
    </row>
    <row r="211" spans="2:16" ht="17.25" x14ac:dyDescent="0.25">
      <c r="B211" s="660"/>
      <c r="C211" s="656"/>
      <c r="D211" s="656"/>
      <c r="E211" s="656"/>
      <c r="F211" s="656"/>
      <c r="G211" s="576"/>
      <c r="H211" s="577"/>
      <c r="I211" s="156">
        <f>SUM(I212:I212)</f>
        <v>305000</v>
      </c>
      <c r="J211" s="97"/>
      <c r="K211" s="574">
        <f>SUM(K212:K212)</f>
        <v>0</v>
      </c>
      <c r="L211" s="575"/>
      <c r="M211" s="156">
        <f>SUM(M212:M212)</f>
        <v>0</v>
      </c>
      <c r="N211" s="146"/>
      <c r="O211" s="156">
        <f>SUM(O212:O212)</f>
        <v>305000</v>
      </c>
      <c r="P211" s="69"/>
    </row>
    <row r="212" spans="2:16" ht="41.25" customHeight="1" thickBot="1" x14ac:dyDescent="0.3">
      <c r="B212" s="661"/>
      <c r="C212" s="657"/>
      <c r="D212" s="657"/>
      <c r="E212" s="657"/>
      <c r="F212" s="657"/>
      <c r="G212" s="576"/>
      <c r="H212" s="577"/>
      <c r="I212" s="96">
        <f>SUM(K212+M212+O212)</f>
        <v>305000</v>
      </c>
      <c r="J212" s="97" t="str">
        <f>"(15)"</f>
        <v>(15)</v>
      </c>
      <c r="K212" s="578">
        <f>SUM(K209*1.2)</f>
        <v>0</v>
      </c>
      <c r="L212" s="579" t="str">
        <f>"(15)"</f>
        <v>(15)</v>
      </c>
      <c r="M212" s="96">
        <f>SUM(M209*1.22)</f>
        <v>0</v>
      </c>
      <c r="N212" s="97" t="str">
        <f>"(15)"</f>
        <v>(15)</v>
      </c>
      <c r="O212" s="96">
        <f>SUM(O209*1.22)</f>
        <v>305000</v>
      </c>
      <c r="P212" s="84" t="str">
        <f>"(15)"</f>
        <v>(15)</v>
      </c>
    </row>
    <row r="213" spans="2:16" ht="17.25" x14ac:dyDescent="0.25">
      <c r="B213" s="659" t="str">
        <f>'kuni 2025 detsember tegevuskava'!A87&amp;"/"&amp;'kuni 2025 detsember tegevuskava'!C87</f>
        <v>KuM/Eesti Rahvusraamatukogu</v>
      </c>
      <c r="C213" s="655" t="str">
        <f>'kuni 2025 detsember tegevuskava'!I87</f>
        <v>•      Riigiülene andmevahetus ja vaade riigi koosvõime tagamiseks kuidas panna süsteemid ja registrid omavahel suhtlema, milline on õiguslik alus andmete kasutamiseks, kas on vajalikud seadusandlikud muudatused; 
•	Sündmusteenuste analüüside läbiviijate ja juurutajate kogemused – millele tähelepanu pöörata meie analüüsi kontekstis;
•	Kas nõusolekuteenus loob eelduse andmevahetusega seotud probleemise lahendamiseks;
•	Uuenduslike digiteenuste loojad – kuidas jõuda inimesteni innovaatiliselt ja mugavalt, milliseid kanaleid kasutada;
•	Kuidas ja kust riigi registrite kasutamiseks õiguslikku ja andmepõhise liikumise analüüsi targalt tellida?
MKM-i äripaneeli kokkuvõte: soovitus analüüsi- ja arendusprojektiga jätkata, võtta analüüsi ja lahenduse väljatöötamisel esimeseks sihtrühmaks õpilased ning andmevahetuse ja õigusliku analüüsi tellimine.</v>
      </c>
      <c r="D213" s="655" t="str">
        <f>'kuni 2025 detsember tegevuskava'!J87</f>
        <v>Sündmusteenuse-, proaktiivse- ja  nõusolekuteenuse ärianalüüs ja teenusedisain</v>
      </c>
      <c r="E213" s="655" t="str">
        <f>'kuni 2025 detsember tegevuskava'!K87</f>
        <v>Analüüsi tulemusel saame vastuse:
•	Ühe sihtrühma ärianalüüs: info- ja äriprotsessid, andmevood, arendus- ja tegevusplaan, õigusanalüüs, teenusedisain 
•	Kuidas teenused kasutajani viia
•	Milliseid kanaleid kasutada proaktiivsete teenuste pakkumisel
•	Milline on õiguslik alus (N:EHIS kasutamiseks) proaktiivsete teenuste pakkumiseks 
•	Teenuse mõju ja kulutõhususe analüüs</v>
      </c>
      <c r="F213" s="655" t="str">
        <f>'kuni 2025 detsember tegevuskava'!P87&amp;"/"</f>
        <v>RRF/</v>
      </c>
      <c r="G213" s="580" cm="1">
        <f t="array" ref="G213">_xlfn.IFS('kuni 2025 detsember tegevuskava'!G87='kuni 2025 detsember tegevuskava'!$G$97,1,'kuni 2025 detsember tegevuskava'!G87='kuni 2025 detsember tegevuskava'!$G$98,2,'kuni 2025 detsember tegevuskava'!G87='kuni 2025 detsember tegevuskava'!$G$99,3,'kuni 2025 detsember tegevuskava'!G87='kuni 2025 detsember tegevuskava'!$G$100,4)</f>
        <v>1</v>
      </c>
      <c r="H213" s="164" cm="1">
        <f t="array" ref="H213">_xlfn.IFS(OR('kuni 2025 detsember tegevuskava'!P87='kuni 2025 detsember tegevuskava'!$P$97,'kuni 2025 detsember tegevuskava'!P87='kuni 2025 detsember tegevuskava'!$P$99,'kuni 2025 detsember tegevuskava'!P87='kuni 2025 detsember tegevuskava'!$P$100,'kuni 2025 detsember tegevuskava'!P87='kuni 2025 detsember tegevuskava'!$P$101),1,'kuni 2025 detsember tegevuskava'!P87='kuni 2025 detsember tegevuskava'!$P$102,2,'kuni 2025 detsember tegevuskava'!P87='kuni 2025 detsember tegevuskava'!$P$103,2,'kuni 2025 detsember tegevuskava'!P87='kuni 2025 detsember tegevuskava'!$P$98,3)</f>
        <v>1</v>
      </c>
      <c r="I213" s="119">
        <f>SUM(I214:I214)</f>
        <v>60000</v>
      </c>
      <c r="J213" s="120"/>
      <c r="K213" s="78">
        <f>SUM(K214:K214)</f>
        <v>0</v>
      </c>
      <c r="L213" s="80"/>
      <c r="M213" s="119">
        <f>SUM(M214:M214)</f>
        <v>0</v>
      </c>
      <c r="N213" s="120"/>
      <c r="O213" s="78">
        <f>SUM(O214:O214)</f>
        <v>60000</v>
      </c>
      <c r="P213" s="82"/>
    </row>
    <row r="214" spans="2:16" ht="17.25" x14ac:dyDescent="0.25">
      <c r="B214" s="660"/>
      <c r="C214" s="656"/>
      <c r="D214" s="656"/>
      <c r="E214" s="656"/>
      <c r="F214" s="656"/>
      <c r="G214" s="576"/>
      <c r="H214" s="577"/>
      <c r="I214" s="96">
        <f>SUM(K214+M214+O214)</f>
        <v>60000</v>
      </c>
      <c r="J214" s="97" t="str">
        <f>"(55)"</f>
        <v>(55)</v>
      </c>
      <c r="K214" s="578">
        <f>'kuni 2025 detsember tegevuskava'!Z87</f>
        <v>0</v>
      </c>
      <c r="L214" s="579" t="str">
        <f>"(55)"</f>
        <v>(55)</v>
      </c>
      <c r="M214" s="96">
        <f>'kuni 2025 detsember tegevuskava'!AC87</f>
        <v>0</v>
      </c>
      <c r="N214" s="97" t="str">
        <f>"(55)"</f>
        <v>(55)</v>
      </c>
      <c r="O214" s="578">
        <f>'kuni 2025 detsember tegevuskava'!AF87</f>
        <v>60000</v>
      </c>
      <c r="P214" s="84" t="str">
        <f>"(55)"</f>
        <v>(55)</v>
      </c>
    </row>
    <row r="215" spans="2:16" ht="17.25" x14ac:dyDescent="0.25">
      <c r="B215" s="660"/>
      <c r="C215" s="656"/>
      <c r="D215" s="656"/>
      <c r="E215" s="656"/>
      <c r="F215" s="656"/>
      <c r="G215" s="576"/>
      <c r="H215" s="577"/>
      <c r="I215" s="159" t="s">
        <v>584</v>
      </c>
      <c r="J215" s="165"/>
      <c r="K215" s="165"/>
      <c r="L215" s="165"/>
      <c r="M215" s="165"/>
      <c r="N215" s="165"/>
      <c r="O215" s="165"/>
      <c r="P215" s="166"/>
    </row>
    <row r="216" spans="2:16" ht="17.25" x14ac:dyDescent="0.25">
      <c r="B216" s="660"/>
      <c r="C216" s="656"/>
      <c r="D216" s="656"/>
      <c r="E216" s="656"/>
      <c r="F216" s="656"/>
      <c r="G216" s="576"/>
      <c r="H216" s="577"/>
      <c r="I216" s="156">
        <f>SUM(I217:I217)</f>
        <v>73200</v>
      </c>
      <c r="J216" s="97"/>
      <c r="K216" s="574">
        <f>SUM(K217:K217)</f>
        <v>0</v>
      </c>
      <c r="L216" s="575"/>
      <c r="M216" s="156">
        <f>SUM(M217:M217)</f>
        <v>0</v>
      </c>
      <c r="N216" s="146"/>
      <c r="O216" s="156">
        <f>SUM(O217:O217)</f>
        <v>73200</v>
      </c>
      <c r="P216" s="69"/>
    </row>
    <row r="217" spans="2:16" ht="274.5" customHeight="1" thickBot="1" x14ac:dyDescent="0.3">
      <c r="B217" s="661"/>
      <c r="C217" s="657"/>
      <c r="D217" s="657"/>
      <c r="E217" s="657"/>
      <c r="F217" s="657"/>
      <c r="G217" s="576"/>
      <c r="H217" s="577"/>
      <c r="I217" s="96">
        <f>SUM(K217+M217+O217)</f>
        <v>73200</v>
      </c>
      <c r="J217" s="97" t="str">
        <f>"(55)"</f>
        <v>(55)</v>
      </c>
      <c r="K217" s="578">
        <f>SUM(K214*1.2)</f>
        <v>0</v>
      </c>
      <c r="L217" s="579" t="str">
        <f>"(55)"</f>
        <v>(55)</v>
      </c>
      <c r="M217" s="96">
        <f>SUM(M214*1.22)</f>
        <v>0</v>
      </c>
      <c r="N217" s="97" t="str">
        <f>"(55)"</f>
        <v>(55)</v>
      </c>
      <c r="O217" s="96">
        <f>SUM(O214*1.22)</f>
        <v>73200</v>
      </c>
      <c r="P217" s="84" t="str">
        <f>"(55)"</f>
        <v>(55)</v>
      </c>
    </row>
    <row r="218" spans="2:16" ht="18" customHeight="1" x14ac:dyDescent="0.25">
      <c r="B218" s="659" t="str">
        <f>'kuni 2025 detsember tegevuskava'!A93&amp;"/"&amp;'kuni 2025 detsember tegevuskava'!C93</f>
        <v>KuM/Kultuuriministeerium</v>
      </c>
      <c r="C218" s="673" t="str">
        <f>'kuni 2025 detsember tegevuskava'!I93</f>
        <v xml:space="preserve">Kohanemisprogrammi iseteenindus ei võimalda teenuseid pakkuda efektiivselt ning välisveeb ei võimalda pakkuda ajakohast ja operatiivset infot kohanemisprogrammi kohta. </v>
      </c>
      <c r="D218" s="655" t="str">
        <f>'kuni 2025 detsember tegevuskava'!J93</f>
        <v>Settle in Estonia kohanemisprogrammi iseteeninduse ja välisveebi arendused</v>
      </c>
      <c r="E218" s="673" t="str">
        <f>'kuni 2025 detsember tegevuskava'!K93</f>
        <v xml:space="preserve">Kasutajasõbralikud veebileht ja iseteenindus, mis  koondavad infot kohanemisprogrammi koolituste kohta (baaskoolitused, teemakoolitused, keeleõpe) ning võimaldavad mugavat registreerimist ja oma koolitusvõimalustega tutvumist personaalse digiteenusena vastavalt erinevatele sihtrühmadele ja nende kohustustele ja võimalustele. </v>
      </c>
      <c r="F218" s="655" t="str">
        <f>'kuni 2025 detsember tegevuskava'!P93&amp;"/"</f>
        <v>RRF/</v>
      </c>
      <c r="G218" s="580" cm="1">
        <f t="array" ref="G218">_xlfn.IFS('kuni 2025 detsember tegevuskava'!G93='kuni 2025 detsember tegevuskava'!$G$97,1,'kuni 2025 detsember tegevuskava'!G93='kuni 2025 detsember tegevuskava'!$G$98,2,'kuni 2025 detsember tegevuskava'!G93='kuni 2025 detsember tegevuskava'!$G$99,3,'kuni 2025 detsember tegevuskava'!G93='kuni 2025 detsember tegevuskava'!$G$100,4)</f>
        <v>1</v>
      </c>
      <c r="H218" s="164" cm="1">
        <f t="array" ref="H218">_xlfn.IFS(OR('kuni 2025 detsember tegevuskava'!P93='kuni 2025 detsember tegevuskava'!$P$97,'kuni 2025 detsember tegevuskava'!P93='kuni 2025 detsember tegevuskava'!$P$99,'kuni 2025 detsember tegevuskava'!P93='kuni 2025 detsember tegevuskava'!$P$100,'kuni 2025 detsember tegevuskava'!P93='kuni 2025 detsember tegevuskava'!$P$101),1,'kuni 2025 detsember tegevuskava'!P93='kuni 2025 detsember tegevuskava'!$P$102,2,'kuni 2025 detsember tegevuskava'!P93='kuni 2025 detsember tegevuskava'!$P$103,2,'kuni 2025 detsember tegevuskava'!P93='kuni 2025 detsember tegevuskava'!$P$98,3)</f>
        <v>1</v>
      </c>
      <c r="I218" s="119">
        <f>SUM(I219:I219)</f>
        <v>530400</v>
      </c>
      <c r="J218" s="120"/>
      <c r="K218" s="78">
        <f>SUM(K219:K219)</f>
        <v>0</v>
      </c>
      <c r="L218" s="80"/>
      <c r="M218" s="119">
        <f>SUM(M219:M219)</f>
        <v>265200</v>
      </c>
      <c r="N218" s="120"/>
      <c r="O218" s="78">
        <f>SUM(O219:O219)</f>
        <v>265200</v>
      </c>
      <c r="P218" s="82"/>
    </row>
    <row r="219" spans="2:16" ht="17.25" x14ac:dyDescent="0.25">
      <c r="B219" s="660"/>
      <c r="C219" s="601"/>
      <c r="D219" s="656"/>
      <c r="E219" s="601"/>
      <c r="F219" s="656"/>
      <c r="G219" s="576"/>
      <c r="H219" s="577"/>
      <c r="I219" s="96">
        <f>SUM(K219+M219+O219)</f>
        <v>530400</v>
      </c>
      <c r="J219" s="97" t="str">
        <f>"(15)"</f>
        <v>(15)</v>
      </c>
      <c r="K219" s="578">
        <f>'kuni 2025 detsember tegevuskava'!X93</f>
        <v>0</v>
      </c>
      <c r="L219" s="579" t="str">
        <f>"(15)"</f>
        <v>(15)</v>
      </c>
      <c r="M219" s="96">
        <f>'kuni 2025 detsember tegevuskava'!AA93</f>
        <v>265200</v>
      </c>
      <c r="N219" s="97" t="str">
        <f>"(15)"</f>
        <v>(15)</v>
      </c>
      <c r="O219" s="578">
        <f>'kuni 2025 detsember tegevuskava'!AD93</f>
        <v>265200</v>
      </c>
      <c r="P219" s="84" t="str">
        <f>"(15)"</f>
        <v>(15)</v>
      </c>
    </row>
    <row r="220" spans="2:16" ht="17.25" x14ac:dyDescent="0.25">
      <c r="B220" s="660"/>
      <c r="C220" s="601"/>
      <c r="D220" s="656"/>
      <c r="E220" s="601"/>
      <c r="F220" s="656"/>
      <c r="G220" s="576"/>
      <c r="H220" s="577"/>
      <c r="I220" s="159" t="s">
        <v>584</v>
      </c>
      <c r="J220" s="165"/>
      <c r="K220" s="165"/>
      <c r="L220" s="165"/>
      <c r="M220" s="165"/>
      <c r="N220" s="165"/>
      <c r="O220" s="165"/>
      <c r="P220" s="166"/>
    </row>
    <row r="221" spans="2:16" ht="17.25" x14ac:dyDescent="0.25">
      <c r="B221" s="660"/>
      <c r="C221" s="601"/>
      <c r="D221" s="656"/>
      <c r="E221" s="601"/>
      <c r="F221" s="656"/>
      <c r="G221" s="576"/>
      <c r="H221" s="577"/>
      <c r="I221" s="156">
        <f>SUM(I222:I222)</f>
        <v>647088</v>
      </c>
      <c r="J221" s="97"/>
      <c r="K221" s="574">
        <f>SUM(K222:K222)</f>
        <v>0</v>
      </c>
      <c r="L221" s="575"/>
      <c r="M221" s="156">
        <f>SUM(M222:M222)</f>
        <v>323544</v>
      </c>
      <c r="N221" s="146"/>
      <c r="O221" s="156">
        <f>SUM(O222:O222)</f>
        <v>323544</v>
      </c>
      <c r="P221" s="69"/>
    </row>
    <row r="222" spans="2:16" ht="102.75" customHeight="1" thickBot="1" x14ac:dyDescent="0.3">
      <c r="B222" s="662"/>
      <c r="C222" s="674"/>
      <c r="D222" s="658"/>
      <c r="E222" s="674"/>
      <c r="F222" s="658"/>
      <c r="G222" s="581"/>
      <c r="H222" s="163"/>
      <c r="I222" s="117">
        <f>SUM(K222+M222+O222)</f>
        <v>647088</v>
      </c>
      <c r="J222" s="118" t="str">
        <f>"(15)"</f>
        <v>(15)</v>
      </c>
      <c r="K222" s="90">
        <f>SUM(K219*1.2)</f>
        <v>0</v>
      </c>
      <c r="L222" s="91" t="str">
        <f>"(15)"</f>
        <v>(15)</v>
      </c>
      <c r="M222" s="117">
        <f>SUM(M219*1.22)</f>
        <v>323544</v>
      </c>
      <c r="N222" s="118" t="str">
        <f>"(15)"</f>
        <v>(15)</v>
      </c>
      <c r="O222" s="117">
        <f>SUM(O219*1.22)</f>
        <v>323544</v>
      </c>
      <c r="P222" s="92" t="str">
        <f>"(15)"</f>
        <v>(15)</v>
      </c>
    </row>
    <row r="224" spans="2:16" ht="141.75" customHeight="1" x14ac:dyDescent="0.25">
      <c r="B224" s="717" t="s">
        <v>676</v>
      </c>
      <c r="C224" s="672"/>
      <c r="D224" s="672"/>
      <c r="E224" s="672"/>
      <c r="F224" s="718"/>
      <c r="G224" s="718"/>
      <c r="H224" s="718"/>
      <c r="I224" s="718"/>
      <c r="J224" s="718"/>
      <c r="K224" s="718"/>
      <c r="L224" s="718"/>
      <c r="M224" s="718"/>
      <c r="N224" s="718"/>
      <c r="O224" s="718"/>
      <c r="P224" s="718"/>
    </row>
    <row r="226" spans="2:2" x14ac:dyDescent="0.25">
      <c r="B226" s="1" t="s">
        <v>673</v>
      </c>
    </row>
    <row r="227" spans="2:2" x14ac:dyDescent="0.25">
      <c r="B227" s="1" t="s">
        <v>674</v>
      </c>
    </row>
    <row r="228" spans="2:2" x14ac:dyDescent="0.2">
      <c r="B228" s="716" t="s">
        <v>675</v>
      </c>
    </row>
  </sheetData>
  <mergeCells count="199">
    <mergeCell ref="B224:P224"/>
    <mergeCell ref="C218:C222"/>
    <mergeCell ref="E218:E222"/>
    <mergeCell ref="D218:D222"/>
    <mergeCell ref="B218:B222"/>
    <mergeCell ref="F218:F222"/>
    <mergeCell ref="B7:P7"/>
    <mergeCell ref="B10:P10"/>
    <mergeCell ref="B2:P2"/>
    <mergeCell ref="B35:B43"/>
    <mergeCell ref="B44:B48"/>
    <mergeCell ref="B49:B53"/>
    <mergeCell ref="B54:B58"/>
    <mergeCell ref="B59:B63"/>
    <mergeCell ref="B29:B30"/>
    <mergeCell ref="C29:C30"/>
    <mergeCell ref="D29:D30"/>
    <mergeCell ref="F29:H30"/>
    <mergeCell ref="D35:D43"/>
    <mergeCell ref="D44:D48"/>
    <mergeCell ref="D49:D53"/>
    <mergeCell ref="D54:D58"/>
    <mergeCell ref="D59:D63"/>
    <mergeCell ref="F35:F43"/>
    <mergeCell ref="Q15:AA15"/>
    <mergeCell ref="Q16:AA16"/>
    <mergeCell ref="I29:J29"/>
    <mergeCell ref="Q17:AA17"/>
    <mergeCell ref="M29:N29"/>
    <mergeCell ref="I30:J30"/>
    <mergeCell ref="K30:L30"/>
    <mergeCell ref="M30:N30"/>
    <mergeCell ref="K29:L29"/>
    <mergeCell ref="O29:P29"/>
    <mergeCell ref="O30:P30"/>
    <mergeCell ref="F44:F48"/>
    <mergeCell ref="F49:F53"/>
    <mergeCell ref="F54:F58"/>
    <mergeCell ref="F59:F63"/>
    <mergeCell ref="B89:B93"/>
    <mergeCell ref="B94:B100"/>
    <mergeCell ref="B101:B105"/>
    <mergeCell ref="B106:B110"/>
    <mergeCell ref="B111:B115"/>
    <mergeCell ref="B64:B68"/>
    <mergeCell ref="B69:B73"/>
    <mergeCell ref="B74:B78"/>
    <mergeCell ref="B79:B83"/>
    <mergeCell ref="B84:B88"/>
    <mergeCell ref="D89:D93"/>
    <mergeCell ref="D94:D100"/>
    <mergeCell ref="D101:D105"/>
    <mergeCell ref="D106:D110"/>
    <mergeCell ref="D111:D115"/>
    <mergeCell ref="D64:D68"/>
    <mergeCell ref="D69:D73"/>
    <mergeCell ref="D74:D78"/>
    <mergeCell ref="D79:D83"/>
    <mergeCell ref="D84:D88"/>
    <mergeCell ref="B163:B167"/>
    <mergeCell ref="B158:B162"/>
    <mergeCell ref="B153:B157"/>
    <mergeCell ref="B133:B137"/>
    <mergeCell ref="B138:B142"/>
    <mergeCell ref="B143:B147"/>
    <mergeCell ref="B148:B152"/>
    <mergeCell ref="B116:B120"/>
    <mergeCell ref="B121:B127"/>
    <mergeCell ref="B128:B132"/>
    <mergeCell ref="B203:B207"/>
    <mergeCell ref="B208:B212"/>
    <mergeCell ref="B213:B217"/>
    <mergeCell ref="B178:B182"/>
    <mergeCell ref="B183:B187"/>
    <mergeCell ref="B188:B192"/>
    <mergeCell ref="B193:B197"/>
    <mergeCell ref="B198:B202"/>
    <mergeCell ref="B168:B172"/>
    <mergeCell ref="B173:B177"/>
    <mergeCell ref="C213:C217"/>
    <mergeCell ref="C168:C172"/>
    <mergeCell ref="C173:C177"/>
    <mergeCell ref="C178:C182"/>
    <mergeCell ref="C183:C187"/>
    <mergeCell ref="C188:C192"/>
    <mergeCell ref="C163:C167"/>
    <mergeCell ref="C158:C162"/>
    <mergeCell ref="C143:C147"/>
    <mergeCell ref="C148:C152"/>
    <mergeCell ref="C153:C157"/>
    <mergeCell ref="C193:C197"/>
    <mergeCell ref="C198:C202"/>
    <mergeCell ref="C203:C207"/>
    <mergeCell ref="C208:C212"/>
    <mergeCell ref="C128:C132"/>
    <mergeCell ref="C133:C137"/>
    <mergeCell ref="C138:C142"/>
    <mergeCell ref="C106:C110"/>
    <mergeCell ref="C111:C115"/>
    <mergeCell ref="C116:C120"/>
    <mergeCell ref="C121:C127"/>
    <mergeCell ref="C35:C43"/>
    <mergeCell ref="C44:C48"/>
    <mergeCell ref="C49:C53"/>
    <mergeCell ref="C54:C58"/>
    <mergeCell ref="C59:C63"/>
    <mergeCell ref="C64:C68"/>
    <mergeCell ref="C69:C73"/>
    <mergeCell ref="C74:C78"/>
    <mergeCell ref="C79:C83"/>
    <mergeCell ref="C84:C88"/>
    <mergeCell ref="C89:C93"/>
    <mergeCell ref="C94:C100"/>
    <mergeCell ref="C101:C105"/>
    <mergeCell ref="D163:D167"/>
    <mergeCell ref="D158:D162"/>
    <mergeCell ref="D153:D157"/>
    <mergeCell ref="D133:D137"/>
    <mergeCell ref="D138:D142"/>
    <mergeCell ref="D143:D147"/>
    <mergeCell ref="D148:D152"/>
    <mergeCell ref="D116:D120"/>
    <mergeCell ref="D121:D127"/>
    <mergeCell ref="D128:D132"/>
    <mergeCell ref="D203:D207"/>
    <mergeCell ref="D208:D212"/>
    <mergeCell ref="D213:D217"/>
    <mergeCell ref="D178:D182"/>
    <mergeCell ref="D183:D187"/>
    <mergeCell ref="D188:D192"/>
    <mergeCell ref="D193:D197"/>
    <mergeCell ref="D198:D202"/>
    <mergeCell ref="D168:D172"/>
    <mergeCell ref="D173:D177"/>
    <mergeCell ref="E213:E217"/>
    <mergeCell ref="E168:E172"/>
    <mergeCell ref="E173:E177"/>
    <mergeCell ref="E178:E182"/>
    <mergeCell ref="E183:E187"/>
    <mergeCell ref="E188:E192"/>
    <mergeCell ref="E163:E167"/>
    <mergeCell ref="E158:E162"/>
    <mergeCell ref="E143:E147"/>
    <mergeCell ref="E148:E152"/>
    <mergeCell ref="E153:E157"/>
    <mergeCell ref="E193:E197"/>
    <mergeCell ref="E198:E202"/>
    <mergeCell ref="E203:E207"/>
    <mergeCell ref="E208:E212"/>
    <mergeCell ref="E128:E132"/>
    <mergeCell ref="E133:E137"/>
    <mergeCell ref="E138:E142"/>
    <mergeCell ref="E106:E110"/>
    <mergeCell ref="E111:E115"/>
    <mergeCell ref="E116:E120"/>
    <mergeCell ref="E121:E127"/>
    <mergeCell ref="E35:E43"/>
    <mergeCell ref="E44:E48"/>
    <mergeCell ref="E49:E53"/>
    <mergeCell ref="E54:E58"/>
    <mergeCell ref="E59:E63"/>
    <mergeCell ref="E64:E68"/>
    <mergeCell ref="E69:E73"/>
    <mergeCell ref="E74:E78"/>
    <mergeCell ref="E79:E83"/>
    <mergeCell ref="E84:E88"/>
    <mergeCell ref="E89:E93"/>
    <mergeCell ref="E94:E100"/>
    <mergeCell ref="E101:E105"/>
    <mergeCell ref="F89:F93"/>
    <mergeCell ref="F94:F100"/>
    <mergeCell ref="F101:F105"/>
    <mergeCell ref="F106:F110"/>
    <mergeCell ref="F111:F115"/>
    <mergeCell ref="F64:F68"/>
    <mergeCell ref="F69:F73"/>
    <mergeCell ref="F74:F78"/>
    <mergeCell ref="F79:F83"/>
    <mergeCell ref="F84:F88"/>
    <mergeCell ref="F163:F167"/>
    <mergeCell ref="F158:F162"/>
    <mergeCell ref="F153:F157"/>
    <mergeCell ref="F133:F137"/>
    <mergeCell ref="F138:F142"/>
    <mergeCell ref="F143:F147"/>
    <mergeCell ref="F148:F152"/>
    <mergeCell ref="F116:F120"/>
    <mergeCell ref="F121:F127"/>
    <mergeCell ref="F128:F132"/>
    <mergeCell ref="F203:F207"/>
    <mergeCell ref="F208:F212"/>
    <mergeCell ref="F213:F217"/>
    <mergeCell ref="F178:F182"/>
    <mergeCell ref="F183:F187"/>
    <mergeCell ref="F188:F192"/>
    <mergeCell ref="F193:F197"/>
    <mergeCell ref="F198:F202"/>
    <mergeCell ref="F168:F172"/>
    <mergeCell ref="F173:F177"/>
  </mergeCells>
  <pageMargins left="0.23622047244094491" right="0.23622047244094491" top="0.74803149606299213" bottom="0.74803149606299213" header="0.31496062992125984" footer="0.31496062992125984"/>
  <pageSetup paperSize="9" scale="6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DC44-B5B5-4E5E-AC0D-7E6F62C6F73D}">
  <dimension ref="A1:Q151"/>
  <sheetViews>
    <sheetView workbookViewId="0">
      <pane xSplit="1" ySplit="3" topLeftCell="B33" activePane="bottomRight" state="frozen"/>
      <selection pane="topRight"/>
      <selection pane="bottomLeft"/>
      <selection pane="bottomRight" activeCell="K30" sqref="K30:K35"/>
    </sheetView>
  </sheetViews>
  <sheetFormatPr defaultRowHeight="15" x14ac:dyDescent="0.25"/>
  <cols>
    <col min="1" max="1" width="57.140625" customWidth="1"/>
    <col min="2" max="2" width="15.7109375" customWidth="1"/>
    <col min="3" max="3" width="15.28515625" customWidth="1"/>
    <col min="4" max="4" width="32.28515625" style="405" customWidth="1"/>
    <col min="5" max="9" width="5.7109375" customWidth="1"/>
    <col min="10" max="10" width="12.28515625" customWidth="1"/>
    <col min="11" max="11" width="19.5703125" customWidth="1"/>
    <col min="12" max="12" width="16.7109375" customWidth="1"/>
    <col min="13" max="13" width="15.7109375" customWidth="1"/>
    <col min="14" max="14" width="22.28515625" customWidth="1"/>
    <col min="15" max="15" width="19.28515625" customWidth="1"/>
    <col min="16" max="17" width="12.28515625" customWidth="1"/>
  </cols>
  <sheetData>
    <row r="1" spans="1:17" s="408" customFormat="1" ht="105" x14ac:dyDescent="0.25">
      <c r="A1" s="406" t="s">
        <v>585</v>
      </c>
      <c r="B1" s="407" t="s">
        <v>586</v>
      </c>
      <c r="C1" s="407" t="s">
        <v>586</v>
      </c>
      <c r="D1" s="407" t="s">
        <v>587</v>
      </c>
      <c r="E1" s="688" t="s">
        <v>588</v>
      </c>
      <c r="F1" s="689"/>
      <c r="G1" s="689"/>
      <c r="H1" s="689"/>
      <c r="I1" s="690"/>
      <c r="J1" s="407" t="s">
        <v>589</v>
      </c>
      <c r="K1" s="407" t="s">
        <v>590</v>
      </c>
      <c r="L1" s="407" t="s">
        <v>591</v>
      </c>
      <c r="M1" s="407" t="s">
        <v>592</v>
      </c>
      <c r="N1" s="407" t="s">
        <v>593</v>
      </c>
      <c r="O1" s="407" t="s">
        <v>594</v>
      </c>
      <c r="P1" s="407" t="s">
        <v>595</v>
      </c>
      <c r="Q1" s="442" t="s">
        <v>596</v>
      </c>
    </row>
    <row r="2" spans="1:17" ht="14.45" customHeight="1" x14ac:dyDescent="0.25">
      <c r="A2" s="691" t="s">
        <v>597</v>
      </c>
      <c r="B2" s="693" t="s">
        <v>598</v>
      </c>
      <c r="C2" s="693" t="s">
        <v>599</v>
      </c>
      <c r="D2" s="693" t="s">
        <v>600</v>
      </c>
      <c r="E2" s="698" t="s">
        <v>601</v>
      </c>
      <c r="F2" s="689"/>
      <c r="G2" s="689"/>
      <c r="H2" s="689"/>
      <c r="I2" s="690"/>
      <c r="J2" s="693" t="s">
        <v>602</v>
      </c>
      <c r="K2" s="693" t="s">
        <v>603</v>
      </c>
      <c r="L2" s="699" t="s">
        <v>604</v>
      </c>
      <c r="M2" s="699" t="s">
        <v>605</v>
      </c>
      <c r="N2" s="699" t="s">
        <v>606</v>
      </c>
      <c r="O2" s="693" t="s">
        <v>607</v>
      </c>
      <c r="P2" s="693" t="s">
        <v>608</v>
      </c>
      <c r="Q2" s="686" t="s">
        <v>609</v>
      </c>
    </row>
    <row r="3" spans="1:17" x14ac:dyDescent="0.25">
      <c r="A3" s="692"/>
      <c r="B3" s="694"/>
      <c r="C3" s="694"/>
      <c r="D3" s="694"/>
      <c r="E3" s="409">
        <v>2023</v>
      </c>
      <c r="F3" s="409">
        <v>2024</v>
      </c>
      <c r="G3" s="409">
        <v>2025</v>
      </c>
      <c r="H3" s="409">
        <v>2026</v>
      </c>
      <c r="I3" s="409">
        <v>2027</v>
      </c>
      <c r="J3" s="694"/>
      <c r="K3" s="694"/>
      <c r="L3" s="700"/>
      <c r="M3" s="700"/>
      <c r="N3" s="700"/>
      <c r="O3" s="694"/>
      <c r="P3" s="694"/>
      <c r="Q3" s="687"/>
    </row>
    <row r="4" spans="1:17" s="1" customFormat="1" x14ac:dyDescent="0.25">
      <c r="A4" s="410" t="s">
        <v>434</v>
      </c>
      <c r="B4" s="411" t="s">
        <v>525</v>
      </c>
      <c r="C4" s="411">
        <v>4</v>
      </c>
      <c r="D4" s="412" t="s">
        <v>524</v>
      </c>
      <c r="E4" s="413" t="s">
        <v>610</v>
      </c>
      <c r="F4" s="413" t="s">
        <v>610</v>
      </c>
      <c r="G4" s="413" t="s">
        <v>610</v>
      </c>
      <c r="H4" s="413" t="s">
        <v>610</v>
      </c>
      <c r="I4" s="413" t="s">
        <v>610</v>
      </c>
      <c r="J4" s="411" t="s">
        <v>611</v>
      </c>
      <c r="K4" s="411" t="s">
        <v>612</v>
      </c>
      <c r="L4" s="414" t="s">
        <v>613</v>
      </c>
      <c r="M4" s="414" t="s">
        <v>614</v>
      </c>
      <c r="N4" s="413" t="s">
        <v>610</v>
      </c>
      <c r="O4" s="414" t="s">
        <v>615</v>
      </c>
      <c r="P4" s="411">
        <v>30</v>
      </c>
      <c r="Q4" s="443"/>
    </row>
    <row r="5" spans="1:17" s="1" customFormat="1" x14ac:dyDescent="0.25">
      <c r="A5" s="410" t="s">
        <v>434</v>
      </c>
      <c r="B5" s="411" t="s">
        <v>516</v>
      </c>
      <c r="C5" s="411">
        <v>4</v>
      </c>
      <c r="D5" s="412" t="s">
        <v>542</v>
      </c>
      <c r="E5" s="413" t="s">
        <v>610</v>
      </c>
      <c r="F5" s="413" t="s">
        <v>610</v>
      </c>
      <c r="G5" s="413" t="s">
        <v>610</v>
      </c>
      <c r="H5" s="413" t="s">
        <v>610</v>
      </c>
      <c r="I5" s="413" t="s">
        <v>610</v>
      </c>
      <c r="J5" s="411" t="s">
        <v>611</v>
      </c>
      <c r="K5" s="411" t="s">
        <v>612</v>
      </c>
      <c r="L5" s="414" t="s">
        <v>613</v>
      </c>
      <c r="M5" s="414" t="s">
        <v>614</v>
      </c>
      <c r="N5" s="413" t="s">
        <v>610</v>
      </c>
      <c r="O5" s="414" t="s">
        <v>615</v>
      </c>
      <c r="P5" s="411">
        <v>50</v>
      </c>
      <c r="Q5" s="443"/>
    </row>
    <row r="6" spans="1:17" s="1" customFormat="1" x14ac:dyDescent="0.25">
      <c r="A6" s="410" t="s">
        <v>434</v>
      </c>
      <c r="B6" s="411" t="s">
        <v>525</v>
      </c>
      <c r="C6" s="411">
        <v>4</v>
      </c>
      <c r="D6" s="415" t="s">
        <v>539</v>
      </c>
      <c r="E6" s="414" t="s">
        <v>610</v>
      </c>
      <c r="F6" s="414" t="s">
        <v>610</v>
      </c>
      <c r="G6" s="414" t="s">
        <v>610</v>
      </c>
      <c r="H6" s="414" t="s">
        <v>610</v>
      </c>
      <c r="I6" s="414" t="s">
        <v>610</v>
      </c>
      <c r="J6" s="414" t="s">
        <v>611</v>
      </c>
      <c r="K6" s="414" t="s">
        <v>612</v>
      </c>
      <c r="L6" s="414" t="s">
        <v>613</v>
      </c>
      <c r="M6" s="414" t="s">
        <v>614</v>
      </c>
      <c r="N6" s="414" t="s">
        <v>610</v>
      </c>
      <c r="O6" s="414" t="s">
        <v>615</v>
      </c>
      <c r="P6" s="414">
        <v>30</v>
      </c>
      <c r="Q6" s="443"/>
    </row>
    <row r="7" spans="1:17" s="1" customFormat="1" x14ac:dyDescent="0.25">
      <c r="A7" s="410" t="s">
        <v>434</v>
      </c>
      <c r="B7" s="411" t="s">
        <v>518</v>
      </c>
      <c r="C7" s="411">
        <v>3</v>
      </c>
      <c r="D7" s="412" t="s">
        <v>542</v>
      </c>
      <c r="E7" s="413" t="s">
        <v>610</v>
      </c>
      <c r="F7" s="413" t="s">
        <v>610</v>
      </c>
      <c r="G7" s="413" t="s">
        <v>610</v>
      </c>
      <c r="H7" s="413" t="s">
        <v>610</v>
      </c>
      <c r="I7" s="413" t="s">
        <v>610</v>
      </c>
      <c r="J7" s="411" t="s">
        <v>611</v>
      </c>
      <c r="K7" s="411" t="s">
        <v>612</v>
      </c>
      <c r="L7" s="414" t="s">
        <v>613</v>
      </c>
      <c r="M7" s="414" t="s">
        <v>614</v>
      </c>
      <c r="N7" s="413" t="s">
        <v>610</v>
      </c>
      <c r="O7" s="414" t="s">
        <v>615</v>
      </c>
      <c r="P7" s="411">
        <v>50</v>
      </c>
      <c r="Q7" s="444"/>
    </row>
    <row r="8" spans="1:17" s="1" customFormat="1" x14ac:dyDescent="0.25">
      <c r="A8" s="410" t="s">
        <v>434</v>
      </c>
      <c r="B8" s="411" t="s">
        <v>518</v>
      </c>
      <c r="C8" s="411">
        <v>4</v>
      </c>
      <c r="D8" s="412" t="s">
        <v>526</v>
      </c>
      <c r="E8" s="413" t="s">
        <v>610</v>
      </c>
      <c r="F8" s="413" t="s">
        <v>610</v>
      </c>
      <c r="G8" s="413" t="s">
        <v>610</v>
      </c>
      <c r="H8" s="413" t="s">
        <v>610</v>
      </c>
      <c r="I8" s="413" t="s">
        <v>610</v>
      </c>
      <c r="J8" s="414" t="s">
        <v>611</v>
      </c>
      <c r="K8" s="414" t="s">
        <v>612</v>
      </c>
      <c r="L8" s="414" t="s">
        <v>613</v>
      </c>
      <c r="M8" s="414" t="s">
        <v>614</v>
      </c>
      <c r="N8" s="414" t="s">
        <v>610</v>
      </c>
      <c r="O8" s="414" t="s">
        <v>615</v>
      </c>
      <c r="P8" s="414">
        <v>10</v>
      </c>
      <c r="Q8" s="444"/>
    </row>
    <row r="9" spans="1:17" s="1" customFormat="1" x14ac:dyDescent="0.25">
      <c r="A9" s="410" t="s">
        <v>434</v>
      </c>
      <c r="B9" s="411" t="s">
        <v>518</v>
      </c>
      <c r="C9" s="411">
        <v>3</v>
      </c>
      <c r="D9" s="412" t="s">
        <v>524</v>
      </c>
      <c r="E9" s="413" t="s">
        <v>610</v>
      </c>
      <c r="F9" s="413" t="s">
        <v>610</v>
      </c>
      <c r="G9" s="413" t="s">
        <v>610</v>
      </c>
      <c r="H9" s="413" t="s">
        <v>610</v>
      </c>
      <c r="I9" s="413" t="s">
        <v>610</v>
      </c>
      <c r="J9" s="411" t="s">
        <v>611</v>
      </c>
      <c r="K9" s="411" t="s">
        <v>612</v>
      </c>
      <c r="L9" s="414" t="s">
        <v>613</v>
      </c>
      <c r="M9" s="414" t="s">
        <v>614</v>
      </c>
      <c r="N9" s="413" t="s">
        <v>610</v>
      </c>
      <c r="O9" s="414" t="s">
        <v>615</v>
      </c>
      <c r="P9" s="411">
        <v>10</v>
      </c>
      <c r="Q9" s="444"/>
    </row>
    <row r="10" spans="1:17" s="1" customFormat="1" x14ac:dyDescent="0.25">
      <c r="A10" s="410" t="s">
        <v>434</v>
      </c>
      <c r="B10" s="411" t="s">
        <v>525</v>
      </c>
      <c r="C10" s="411">
        <v>3</v>
      </c>
      <c r="D10" s="412" t="s">
        <v>524</v>
      </c>
      <c r="E10" s="411" t="s">
        <v>610</v>
      </c>
      <c r="F10" s="411" t="s">
        <v>610</v>
      </c>
      <c r="G10" s="411" t="s">
        <v>610</v>
      </c>
      <c r="H10" s="411" t="s">
        <v>610</v>
      </c>
      <c r="I10" s="411" t="s">
        <v>610</v>
      </c>
      <c r="J10" s="411" t="s">
        <v>611</v>
      </c>
      <c r="K10" s="411" t="s">
        <v>612</v>
      </c>
      <c r="L10" s="414" t="s">
        <v>613</v>
      </c>
      <c r="M10" s="411" t="s">
        <v>614</v>
      </c>
      <c r="N10" s="411" t="s">
        <v>610</v>
      </c>
      <c r="O10" s="411" t="s">
        <v>615</v>
      </c>
      <c r="P10" s="411">
        <v>10</v>
      </c>
      <c r="Q10" s="444"/>
    </row>
    <row r="11" spans="1:17" s="1" customFormat="1" x14ac:dyDescent="0.25">
      <c r="A11" s="410" t="s">
        <v>434</v>
      </c>
      <c r="B11" s="411" t="s">
        <v>487</v>
      </c>
      <c r="C11" s="411">
        <v>2</v>
      </c>
      <c r="D11" s="415" t="s">
        <v>526</v>
      </c>
      <c r="E11" s="414" t="s">
        <v>610</v>
      </c>
      <c r="F11" s="414" t="s">
        <v>610</v>
      </c>
      <c r="G11" s="414" t="s">
        <v>610</v>
      </c>
      <c r="H11" s="414" t="s">
        <v>610</v>
      </c>
      <c r="I11" s="414" t="s">
        <v>610</v>
      </c>
      <c r="J11" s="414" t="s">
        <v>611</v>
      </c>
      <c r="K11" s="414" t="s">
        <v>612</v>
      </c>
      <c r="L11" s="414" t="s">
        <v>613</v>
      </c>
      <c r="M11" s="414" t="s">
        <v>614</v>
      </c>
      <c r="N11" s="414" t="s">
        <v>610</v>
      </c>
      <c r="O11" s="414" t="s">
        <v>615</v>
      </c>
      <c r="P11" s="414">
        <v>10</v>
      </c>
      <c r="Q11" s="444"/>
    </row>
    <row r="12" spans="1:17" s="1" customFormat="1" x14ac:dyDescent="0.25">
      <c r="A12" s="410" t="s">
        <v>616</v>
      </c>
      <c r="B12" s="411" t="s">
        <v>525</v>
      </c>
      <c r="C12" s="411">
        <v>4</v>
      </c>
      <c r="D12" s="412" t="s">
        <v>524</v>
      </c>
      <c r="E12" s="411" t="s">
        <v>610</v>
      </c>
      <c r="F12" s="411" t="s">
        <v>610</v>
      </c>
      <c r="G12" s="411" t="s">
        <v>610</v>
      </c>
      <c r="H12" s="411" t="s">
        <v>610</v>
      </c>
      <c r="I12" s="411" t="s">
        <v>610</v>
      </c>
      <c r="J12" s="411" t="s">
        <v>611</v>
      </c>
      <c r="K12" s="411" t="s">
        <v>612</v>
      </c>
      <c r="L12" s="414" t="s">
        <v>613</v>
      </c>
      <c r="M12" s="411" t="s">
        <v>614</v>
      </c>
      <c r="N12" s="411" t="s">
        <v>610</v>
      </c>
      <c r="O12" s="411" t="s">
        <v>615</v>
      </c>
      <c r="P12" s="411">
        <v>50</v>
      </c>
      <c r="Q12" s="444"/>
    </row>
    <row r="13" spans="1:17" s="1" customFormat="1" x14ac:dyDescent="0.25">
      <c r="A13" s="410" t="s">
        <v>616</v>
      </c>
      <c r="B13" s="411" t="s">
        <v>516</v>
      </c>
      <c r="C13" s="411">
        <v>4</v>
      </c>
      <c r="D13" s="412" t="s">
        <v>542</v>
      </c>
      <c r="E13" s="411" t="s">
        <v>610</v>
      </c>
      <c r="F13" s="411" t="s">
        <v>610</v>
      </c>
      <c r="G13" s="411" t="s">
        <v>610</v>
      </c>
      <c r="H13" s="411" t="s">
        <v>610</v>
      </c>
      <c r="I13" s="411" t="s">
        <v>610</v>
      </c>
      <c r="J13" s="411" t="s">
        <v>611</v>
      </c>
      <c r="K13" s="411" t="s">
        <v>612</v>
      </c>
      <c r="L13" s="414" t="s">
        <v>613</v>
      </c>
      <c r="M13" s="411" t="s">
        <v>614</v>
      </c>
      <c r="N13" s="411" t="s">
        <v>610</v>
      </c>
      <c r="O13" s="411" t="s">
        <v>615</v>
      </c>
      <c r="P13" s="411">
        <v>50</v>
      </c>
      <c r="Q13" s="444"/>
    </row>
    <row r="14" spans="1:17" s="1" customFormat="1" x14ac:dyDescent="0.25">
      <c r="A14" s="410" t="s">
        <v>616</v>
      </c>
      <c r="B14" s="411" t="s">
        <v>525</v>
      </c>
      <c r="C14" s="411">
        <v>3</v>
      </c>
      <c r="D14" s="412" t="s">
        <v>524</v>
      </c>
      <c r="E14" s="411" t="s">
        <v>610</v>
      </c>
      <c r="F14" s="411" t="s">
        <v>610</v>
      </c>
      <c r="G14" s="411" t="s">
        <v>610</v>
      </c>
      <c r="H14" s="411" t="s">
        <v>610</v>
      </c>
      <c r="I14" s="411" t="s">
        <v>610</v>
      </c>
      <c r="J14" s="411" t="s">
        <v>611</v>
      </c>
      <c r="K14" s="411" t="s">
        <v>612</v>
      </c>
      <c r="L14" s="414" t="s">
        <v>613</v>
      </c>
      <c r="M14" s="411" t="s">
        <v>614</v>
      </c>
      <c r="N14" s="411" t="s">
        <v>610</v>
      </c>
      <c r="O14" s="411" t="s">
        <v>615</v>
      </c>
      <c r="P14" s="411">
        <v>20</v>
      </c>
      <c r="Q14" s="444"/>
    </row>
    <row r="15" spans="1:17" s="1" customFormat="1" x14ac:dyDescent="0.25">
      <c r="A15" s="410" t="s">
        <v>616</v>
      </c>
      <c r="B15" s="411" t="s">
        <v>525</v>
      </c>
      <c r="C15" s="411">
        <v>3</v>
      </c>
      <c r="D15" s="412" t="s">
        <v>524</v>
      </c>
      <c r="E15" s="411" t="s">
        <v>610</v>
      </c>
      <c r="F15" s="411" t="s">
        <v>610</v>
      </c>
      <c r="G15" s="411" t="s">
        <v>610</v>
      </c>
      <c r="H15" s="411" t="s">
        <v>610</v>
      </c>
      <c r="I15" s="411" t="s">
        <v>610</v>
      </c>
      <c r="J15" s="411" t="s">
        <v>611</v>
      </c>
      <c r="K15" s="411" t="s">
        <v>612</v>
      </c>
      <c r="L15" s="414" t="s">
        <v>613</v>
      </c>
      <c r="M15" s="411" t="s">
        <v>614</v>
      </c>
      <c r="N15" s="411" t="s">
        <v>610</v>
      </c>
      <c r="O15" s="411" t="s">
        <v>615</v>
      </c>
      <c r="P15" s="411">
        <v>10</v>
      </c>
      <c r="Q15" s="444"/>
    </row>
    <row r="16" spans="1:17" s="1" customFormat="1" x14ac:dyDescent="0.25">
      <c r="A16" s="410" t="s">
        <v>616</v>
      </c>
      <c r="B16" s="411" t="s">
        <v>518</v>
      </c>
      <c r="C16" s="411">
        <v>4</v>
      </c>
      <c r="D16" s="412" t="s">
        <v>542</v>
      </c>
      <c r="E16" s="411" t="s">
        <v>610</v>
      </c>
      <c r="F16" s="411" t="s">
        <v>610</v>
      </c>
      <c r="G16" s="411" t="s">
        <v>610</v>
      </c>
      <c r="H16" s="411" t="s">
        <v>610</v>
      </c>
      <c r="I16" s="411" t="s">
        <v>610</v>
      </c>
      <c r="J16" s="411" t="s">
        <v>611</v>
      </c>
      <c r="K16" s="411" t="s">
        <v>612</v>
      </c>
      <c r="L16" s="414" t="s">
        <v>613</v>
      </c>
      <c r="M16" s="411" t="s">
        <v>614</v>
      </c>
      <c r="N16" s="411" t="s">
        <v>610</v>
      </c>
      <c r="O16" s="411" t="s">
        <v>615</v>
      </c>
      <c r="P16" s="411">
        <v>10</v>
      </c>
      <c r="Q16" s="444"/>
    </row>
    <row r="17" spans="1:17" s="1" customFormat="1" x14ac:dyDescent="0.25">
      <c r="A17" s="410" t="s">
        <v>616</v>
      </c>
      <c r="B17" s="411" t="s">
        <v>487</v>
      </c>
      <c r="C17" s="411">
        <v>2</v>
      </c>
      <c r="D17" s="415" t="s">
        <v>526</v>
      </c>
      <c r="E17" s="414" t="s">
        <v>610</v>
      </c>
      <c r="F17" s="414" t="s">
        <v>610</v>
      </c>
      <c r="G17" s="414" t="s">
        <v>610</v>
      </c>
      <c r="H17" s="414" t="s">
        <v>610</v>
      </c>
      <c r="I17" s="414" t="s">
        <v>610</v>
      </c>
      <c r="J17" s="414" t="s">
        <v>611</v>
      </c>
      <c r="K17" s="414" t="s">
        <v>612</v>
      </c>
      <c r="L17" s="414" t="s">
        <v>613</v>
      </c>
      <c r="M17" s="414" t="s">
        <v>614</v>
      </c>
      <c r="N17" s="414" t="s">
        <v>610</v>
      </c>
      <c r="O17" s="414" t="s">
        <v>615</v>
      </c>
      <c r="P17" s="414">
        <v>10</v>
      </c>
      <c r="Q17" s="444"/>
    </row>
    <row r="18" spans="1:17" s="1" customFormat="1" x14ac:dyDescent="0.25">
      <c r="A18" s="416" t="s">
        <v>617</v>
      </c>
      <c r="B18" s="414" t="s">
        <v>525</v>
      </c>
      <c r="C18" s="411">
        <v>4</v>
      </c>
      <c r="D18" s="415" t="s">
        <v>524</v>
      </c>
      <c r="E18" s="414" t="s">
        <v>610</v>
      </c>
      <c r="F18" s="414" t="s">
        <v>610</v>
      </c>
      <c r="G18" s="414" t="s">
        <v>610</v>
      </c>
      <c r="H18" s="414" t="s">
        <v>610</v>
      </c>
      <c r="I18" s="414" t="s">
        <v>610</v>
      </c>
      <c r="J18" s="414" t="s">
        <v>611</v>
      </c>
      <c r="K18" s="414" t="s">
        <v>612</v>
      </c>
      <c r="L18" s="414" t="s">
        <v>613</v>
      </c>
      <c r="M18" s="414" t="s">
        <v>614</v>
      </c>
      <c r="N18" s="414" t="s">
        <v>610</v>
      </c>
      <c r="O18" s="414" t="s">
        <v>615</v>
      </c>
      <c r="P18" s="414">
        <v>30</v>
      </c>
      <c r="Q18" s="444"/>
    </row>
    <row r="19" spans="1:17" s="1" customFormat="1" x14ac:dyDescent="0.25">
      <c r="A19" s="416" t="s">
        <v>617</v>
      </c>
      <c r="B19" s="414" t="s">
        <v>516</v>
      </c>
      <c r="C19" s="411">
        <v>4</v>
      </c>
      <c r="D19" s="415" t="s">
        <v>542</v>
      </c>
      <c r="E19" s="414" t="s">
        <v>610</v>
      </c>
      <c r="F19" s="414" t="s">
        <v>610</v>
      </c>
      <c r="G19" s="414" t="s">
        <v>610</v>
      </c>
      <c r="H19" s="414" t="s">
        <v>610</v>
      </c>
      <c r="I19" s="414" t="s">
        <v>610</v>
      </c>
      <c r="J19" s="414" t="s">
        <v>611</v>
      </c>
      <c r="K19" s="414" t="s">
        <v>612</v>
      </c>
      <c r="L19" s="414" t="s">
        <v>613</v>
      </c>
      <c r="M19" s="414" t="s">
        <v>614</v>
      </c>
      <c r="N19" s="414" t="s">
        <v>610</v>
      </c>
      <c r="O19" s="414" t="s">
        <v>615</v>
      </c>
      <c r="P19" s="414">
        <v>50</v>
      </c>
      <c r="Q19" s="444"/>
    </row>
    <row r="20" spans="1:17" s="1" customFormat="1" x14ac:dyDescent="0.25">
      <c r="A20" s="416" t="s">
        <v>617</v>
      </c>
      <c r="B20" s="411" t="s">
        <v>525</v>
      </c>
      <c r="C20" s="411">
        <v>4</v>
      </c>
      <c r="D20" s="412" t="s">
        <v>539</v>
      </c>
      <c r="E20" s="414" t="s">
        <v>610</v>
      </c>
      <c r="F20" s="414" t="s">
        <v>610</v>
      </c>
      <c r="G20" s="414" t="s">
        <v>610</v>
      </c>
      <c r="H20" s="414" t="s">
        <v>610</v>
      </c>
      <c r="I20" s="414" t="s">
        <v>610</v>
      </c>
      <c r="J20" s="414" t="s">
        <v>611</v>
      </c>
      <c r="K20" s="414" t="s">
        <v>612</v>
      </c>
      <c r="L20" s="414" t="s">
        <v>613</v>
      </c>
      <c r="M20" s="414" t="s">
        <v>614</v>
      </c>
      <c r="N20" s="414" t="s">
        <v>610</v>
      </c>
      <c r="O20" s="414" t="s">
        <v>615</v>
      </c>
      <c r="P20" s="414">
        <v>30</v>
      </c>
      <c r="Q20" s="444"/>
    </row>
    <row r="21" spans="1:17" s="1" customFormat="1" x14ac:dyDescent="0.25">
      <c r="A21" s="416" t="s">
        <v>617</v>
      </c>
      <c r="B21" s="411" t="s">
        <v>518</v>
      </c>
      <c r="C21" s="411">
        <v>3</v>
      </c>
      <c r="D21" s="412" t="s">
        <v>542</v>
      </c>
      <c r="E21" s="414" t="s">
        <v>610</v>
      </c>
      <c r="F21" s="414" t="s">
        <v>610</v>
      </c>
      <c r="G21" s="414" t="s">
        <v>610</v>
      </c>
      <c r="H21" s="414" t="s">
        <v>610</v>
      </c>
      <c r="I21" s="414" t="s">
        <v>610</v>
      </c>
      <c r="J21" s="414" t="s">
        <v>611</v>
      </c>
      <c r="K21" s="414" t="s">
        <v>612</v>
      </c>
      <c r="L21" s="414" t="s">
        <v>613</v>
      </c>
      <c r="M21" s="414" t="s">
        <v>614</v>
      </c>
      <c r="N21" s="414" t="s">
        <v>610</v>
      </c>
      <c r="O21" s="417" t="s">
        <v>615</v>
      </c>
      <c r="P21" s="414">
        <v>50</v>
      </c>
      <c r="Q21" s="444"/>
    </row>
    <row r="22" spans="1:17" s="1" customFormat="1" x14ac:dyDescent="0.25">
      <c r="A22" s="416" t="s">
        <v>617</v>
      </c>
      <c r="B22" s="417" t="s">
        <v>518</v>
      </c>
      <c r="C22" s="418">
        <v>4</v>
      </c>
      <c r="D22" s="419" t="s">
        <v>526</v>
      </c>
      <c r="E22" s="417" t="s">
        <v>610</v>
      </c>
      <c r="F22" s="417" t="s">
        <v>610</v>
      </c>
      <c r="G22" s="417" t="s">
        <v>610</v>
      </c>
      <c r="H22" s="417" t="s">
        <v>610</v>
      </c>
      <c r="I22" s="417" t="s">
        <v>610</v>
      </c>
      <c r="J22" s="417" t="s">
        <v>611</v>
      </c>
      <c r="K22" s="417" t="s">
        <v>612</v>
      </c>
      <c r="L22" s="417" t="s">
        <v>613</v>
      </c>
      <c r="M22" s="414" t="s">
        <v>614</v>
      </c>
      <c r="N22" s="493" t="s">
        <v>610</v>
      </c>
      <c r="O22" s="494" t="s">
        <v>615</v>
      </c>
      <c r="P22" s="493">
        <v>10</v>
      </c>
      <c r="Q22" s="444"/>
    </row>
    <row r="23" spans="1:17" s="1" customFormat="1" x14ac:dyDescent="0.25">
      <c r="A23" s="496" t="s">
        <v>617</v>
      </c>
      <c r="B23" s="494" t="s">
        <v>518</v>
      </c>
      <c r="C23" s="495">
        <v>3</v>
      </c>
      <c r="D23" s="427" t="s">
        <v>524</v>
      </c>
      <c r="E23" s="494"/>
      <c r="F23" s="494"/>
      <c r="G23" s="494"/>
      <c r="H23" s="494"/>
      <c r="I23" s="494"/>
      <c r="J23" s="417" t="s">
        <v>611</v>
      </c>
      <c r="K23" s="417" t="s">
        <v>612</v>
      </c>
      <c r="L23" s="417" t="s">
        <v>613</v>
      </c>
      <c r="M23" s="414" t="s">
        <v>614</v>
      </c>
      <c r="N23" s="506"/>
      <c r="O23" s="494" t="s">
        <v>615</v>
      </c>
      <c r="P23" s="507">
        <v>10</v>
      </c>
      <c r="Q23" s="497"/>
    </row>
    <row r="24" spans="1:17" s="1" customFormat="1" x14ac:dyDescent="0.25">
      <c r="A24" s="496" t="s">
        <v>617</v>
      </c>
      <c r="B24" s="494" t="s">
        <v>525</v>
      </c>
      <c r="C24" s="495">
        <v>3</v>
      </c>
      <c r="D24" s="427" t="s">
        <v>524</v>
      </c>
      <c r="E24" s="494"/>
      <c r="F24" s="494"/>
      <c r="G24" s="494"/>
      <c r="H24" s="494"/>
      <c r="I24" s="494"/>
      <c r="J24" s="417" t="s">
        <v>611</v>
      </c>
      <c r="K24" s="417" t="s">
        <v>612</v>
      </c>
      <c r="L24" s="417" t="s">
        <v>613</v>
      </c>
      <c r="M24" s="414" t="s">
        <v>614</v>
      </c>
      <c r="N24" s="506"/>
      <c r="O24" s="494" t="s">
        <v>615</v>
      </c>
      <c r="P24" s="507">
        <v>10</v>
      </c>
      <c r="Q24" s="497"/>
    </row>
    <row r="25" spans="1:17" s="1" customFormat="1" x14ac:dyDescent="0.25">
      <c r="A25" s="496" t="s">
        <v>617</v>
      </c>
      <c r="B25" s="494" t="s">
        <v>487</v>
      </c>
      <c r="C25" s="495">
        <v>2</v>
      </c>
      <c r="D25" s="427" t="s">
        <v>526</v>
      </c>
      <c r="E25" s="494"/>
      <c r="F25" s="494"/>
      <c r="G25" s="494"/>
      <c r="H25" s="494"/>
      <c r="I25" s="494"/>
      <c r="J25" s="417" t="s">
        <v>611</v>
      </c>
      <c r="K25" s="417" t="s">
        <v>612</v>
      </c>
      <c r="L25" s="417" t="s">
        <v>613</v>
      </c>
      <c r="M25" s="414" t="s">
        <v>614</v>
      </c>
      <c r="N25" s="506"/>
      <c r="O25" s="494" t="s">
        <v>615</v>
      </c>
      <c r="P25" s="507">
        <v>10</v>
      </c>
      <c r="Q25" s="497"/>
    </row>
    <row r="26" spans="1:17" x14ac:dyDescent="0.25">
      <c r="A26" s="420" t="s">
        <v>138</v>
      </c>
      <c r="B26" s="515" t="s">
        <v>487</v>
      </c>
      <c r="C26" s="499">
        <v>3</v>
      </c>
      <c r="D26" s="500" t="s">
        <v>618</v>
      </c>
      <c r="E26" s="499"/>
      <c r="F26" s="499"/>
      <c r="G26" s="499"/>
      <c r="H26" s="499"/>
      <c r="I26" s="499"/>
      <c r="J26" s="499" t="s">
        <v>619</v>
      </c>
      <c r="K26" s="499" t="s">
        <v>612</v>
      </c>
      <c r="L26" s="501">
        <v>48000</v>
      </c>
      <c r="M26" s="499" t="s">
        <v>614</v>
      </c>
      <c r="N26" s="499"/>
      <c r="O26" s="499" t="s">
        <v>620</v>
      </c>
      <c r="P26" s="502">
        <v>30</v>
      </c>
      <c r="Q26" s="441"/>
    </row>
    <row r="27" spans="1:17" x14ac:dyDescent="0.25">
      <c r="A27" s="420" t="s">
        <v>138</v>
      </c>
      <c r="B27" s="514" t="s">
        <v>487</v>
      </c>
      <c r="C27" s="422">
        <v>2</v>
      </c>
      <c r="D27" s="420" t="s">
        <v>621</v>
      </c>
      <c r="E27" s="422"/>
      <c r="F27" s="422"/>
      <c r="G27" s="422"/>
      <c r="H27" s="422"/>
      <c r="I27" s="422"/>
      <c r="J27" s="422" t="s">
        <v>619</v>
      </c>
      <c r="K27" s="422" t="s">
        <v>612</v>
      </c>
      <c r="L27" s="423">
        <v>40000</v>
      </c>
      <c r="M27" s="422" t="s">
        <v>614</v>
      </c>
      <c r="N27" s="422"/>
      <c r="O27" s="422" t="s">
        <v>620</v>
      </c>
      <c r="P27" s="445">
        <v>30</v>
      </c>
      <c r="Q27" s="441"/>
    </row>
    <row r="28" spans="1:17" x14ac:dyDescent="0.25">
      <c r="A28" s="420" t="s">
        <v>138</v>
      </c>
      <c r="B28" s="514" t="s">
        <v>487</v>
      </c>
      <c r="C28" s="422">
        <v>2</v>
      </c>
      <c r="D28" s="420" t="s">
        <v>622</v>
      </c>
      <c r="E28" s="422"/>
      <c r="F28" s="422"/>
      <c r="G28" s="422"/>
      <c r="H28" s="422"/>
      <c r="I28" s="422"/>
      <c r="J28" s="422" t="s">
        <v>619</v>
      </c>
      <c r="K28" s="422" t="s">
        <v>612</v>
      </c>
      <c r="L28" s="423">
        <v>40000</v>
      </c>
      <c r="M28" s="422" t="s">
        <v>614</v>
      </c>
      <c r="N28" s="422"/>
      <c r="O28" s="422" t="s">
        <v>620</v>
      </c>
      <c r="P28" s="445">
        <v>30</v>
      </c>
      <c r="Q28" s="441"/>
    </row>
    <row r="29" spans="1:17" x14ac:dyDescent="0.25">
      <c r="A29" s="420" t="s">
        <v>138</v>
      </c>
      <c r="B29" s="514" t="s">
        <v>487</v>
      </c>
      <c r="C29" s="422">
        <v>2</v>
      </c>
      <c r="D29" s="420" t="s">
        <v>623</v>
      </c>
      <c r="E29" s="422"/>
      <c r="F29" s="422"/>
      <c r="G29" s="422"/>
      <c r="H29" s="422"/>
      <c r="I29" s="422"/>
      <c r="J29" s="422" t="s">
        <v>619</v>
      </c>
      <c r="K29" s="422" t="s">
        <v>612</v>
      </c>
      <c r="L29" s="423">
        <v>40000</v>
      </c>
      <c r="M29" s="422" t="s">
        <v>614</v>
      </c>
      <c r="N29" s="422"/>
      <c r="O29" s="422" t="s">
        <v>620</v>
      </c>
      <c r="P29" s="445">
        <v>20</v>
      </c>
      <c r="Q29" s="441"/>
    </row>
    <row r="30" spans="1:17" ht="29.1" customHeight="1" x14ac:dyDescent="0.25">
      <c r="A30" s="420" t="s">
        <v>138</v>
      </c>
      <c r="B30" s="503" t="s">
        <v>525</v>
      </c>
      <c r="C30" s="422">
        <v>3</v>
      </c>
      <c r="D30" s="422" t="s">
        <v>498</v>
      </c>
      <c r="E30" s="422"/>
      <c r="F30" s="422"/>
      <c r="G30" s="422"/>
      <c r="H30" s="422"/>
      <c r="I30" s="422"/>
      <c r="J30" s="422" t="s">
        <v>619</v>
      </c>
      <c r="K30" s="518" t="s">
        <v>612</v>
      </c>
      <c r="L30" s="422"/>
      <c r="M30" s="422" t="s">
        <v>611</v>
      </c>
      <c r="N30" s="420" t="s">
        <v>624</v>
      </c>
      <c r="O30" s="422" t="s">
        <v>620</v>
      </c>
      <c r="P30" s="422"/>
      <c r="Q30" s="441" t="s">
        <v>625</v>
      </c>
    </row>
    <row r="31" spans="1:17" ht="45" x14ac:dyDescent="0.25">
      <c r="A31" s="420" t="s">
        <v>138</v>
      </c>
      <c r="B31" s="503" t="s">
        <v>523</v>
      </c>
      <c r="C31" s="505">
        <v>3</v>
      </c>
      <c r="D31" s="504" t="s">
        <v>626</v>
      </c>
      <c r="E31" s="424"/>
      <c r="F31" s="424"/>
      <c r="G31" s="424"/>
      <c r="H31" s="424"/>
      <c r="I31" s="424"/>
      <c r="J31" s="422" t="s">
        <v>619</v>
      </c>
      <c r="K31" s="517" t="s">
        <v>612</v>
      </c>
      <c r="L31" s="424"/>
      <c r="M31" s="504" t="s">
        <v>611</v>
      </c>
      <c r="N31" s="420" t="s">
        <v>624</v>
      </c>
      <c r="O31" s="422" t="s">
        <v>620</v>
      </c>
      <c r="P31" s="424"/>
      <c r="Q31" s="441" t="s">
        <v>625</v>
      </c>
    </row>
    <row r="32" spans="1:17" ht="45" x14ac:dyDescent="0.25">
      <c r="A32" s="420" t="s">
        <v>138</v>
      </c>
      <c r="B32" s="503" t="s">
        <v>487</v>
      </c>
      <c r="C32" s="505">
        <v>3</v>
      </c>
      <c r="D32" s="504" t="s">
        <v>627</v>
      </c>
      <c r="E32" s="424"/>
      <c r="F32" s="424"/>
      <c r="G32" s="424"/>
      <c r="H32" s="424"/>
      <c r="I32" s="424"/>
      <c r="J32" s="422" t="s">
        <v>619</v>
      </c>
      <c r="K32" s="517" t="s">
        <v>612</v>
      </c>
      <c r="L32" s="424"/>
      <c r="M32" s="504" t="s">
        <v>611</v>
      </c>
      <c r="N32" s="420" t="s">
        <v>624</v>
      </c>
      <c r="O32" s="422" t="s">
        <v>620</v>
      </c>
      <c r="P32" s="424"/>
      <c r="Q32" s="441" t="s">
        <v>625</v>
      </c>
    </row>
    <row r="33" spans="1:17" ht="45" x14ac:dyDescent="0.25">
      <c r="A33" s="420" t="s">
        <v>138</v>
      </c>
      <c r="B33" s="503" t="s">
        <v>527</v>
      </c>
      <c r="C33" s="505">
        <v>2</v>
      </c>
      <c r="D33" s="504" t="s">
        <v>628</v>
      </c>
      <c r="E33" s="424"/>
      <c r="F33" s="424"/>
      <c r="G33" s="424"/>
      <c r="H33" s="424"/>
      <c r="I33" s="424"/>
      <c r="J33" s="422" t="s">
        <v>619</v>
      </c>
      <c r="K33" s="517" t="s">
        <v>612</v>
      </c>
      <c r="L33" s="424"/>
      <c r="M33" s="504" t="s">
        <v>611</v>
      </c>
      <c r="N33" s="420" t="s">
        <v>624</v>
      </c>
      <c r="O33" s="422" t="s">
        <v>620</v>
      </c>
      <c r="P33" s="424"/>
      <c r="Q33" s="441" t="s">
        <v>625</v>
      </c>
    </row>
    <row r="34" spans="1:17" ht="45" x14ac:dyDescent="0.25">
      <c r="A34" s="420" t="s">
        <v>138</v>
      </c>
      <c r="B34" s="503" t="s">
        <v>521</v>
      </c>
      <c r="C34" s="505">
        <v>2</v>
      </c>
      <c r="D34" s="504" t="s">
        <v>539</v>
      </c>
      <c r="E34" s="424"/>
      <c r="F34" s="424"/>
      <c r="G34" s="424"/>
      <c r="H34" s="424"/>
      <c r="I34" s="424"/>
      <c r="J34" s="422" t="s">
        <v>619</v>
      </c>
      <c r="K34" s="517" t="s">
        <v>612</v>
      </c>
      <c r="L34" s="424"/>
      <c r="M34" s="504" t="s">
        <v>611</v>
      </c>
      <c r="N34" s="420" t="s">
        <v>624</v>
      </c>
      <c r="O34" s="422" t="s">
        <v>620</v>
      </c>
      <c r="P34" s="424"/>
      <c r="Q34" s="441" t="s">
        <v>625</v>
      </c>
    </row>
    <row r="35" spans="1:17" ht="45" x14ac:dyDescent="0.25">
      <c r="A35" s="420" t="s">
        <v>138</v>
      </c>
      <c r="B35" s="503" t="s">
        <v>523</v>
      </c>
      <c r="C35" s="505">
        <v>2</v>
      </c>
      <c r="D35" s="504" t="s">
        <v>629</v>
      </c>
      <c r="E35" s="424"/>
      <c r="F35" s="424"/>
      <c r="G35" s="424"/>
      <c r="H35" s="424"/>
      <c r="I35" s="424"/>
      <c r="J35" s="504" t="s">
        <v>619</v>
      </c>
      <c r="K35" s="517" t="s">
        <v>612</v>
      </c>
      <c r="L35" s="424"/>
      <c r="M35" s="504" t="s">
        <v>611</v>
      </c>
      <c r="N35" s="420" t="s">
        <v>624</v>
      </c>
      <c r="O35" s="422" t="s">
        <v>620</v>
      </c>
      <c r="P35" s="424"/>
      <c r="Q35" s="512" t="s">
        <v>625</v>
      </c>
    </row>
    <row r="36" spans="1:17" x14ac:dyDescent="0.25">
      <c r="A36" s="420" t="s">
        <v>381</v>
      </c>
      <c r="B36" s="421" t="s">
        <v>487</v>
      </c>
      <c r="C36" s="422">
        <v>3</v>
      </c>
      <c r="D36" s="420" t="s">
        <v>618</v>
      </c>
      <c r="E36" s="422"/>
      <c r="F36" s="422"/>
      <c r="G36" s="422"/>
      <c r="H36" s="422"/>
      <c r="I36" s="422"/>
      <c r="J36" s="422" t="s">
        <v>619</v>
      </c>
      <c r="K36" s="422" t="s">
        <v>612</v>
      </c>
      <c r="L36" s="423"/>
      <c r="M36" s="422" t="s">
        <v>611</v>
      </c>
      <c r="N36" s="423">
        <v>46500</v>
      </c>
      <c r="O36" s="422" t="s">
        <v>620</v>
      </c>
      <c r="P36" s="445">
        <v>100</v>
      </c>
      <c r="Q36" s="422"/>
    </row>
    <row r="37" spans="1:17" x14ac:dyDescent="0.25">
      <c r="A37" s="420" t="s">
        <v>381</v>
      </c>
      <c r="B37" s="421" t="s">
        <v>487</v>
      </c>
      <c r="C37" s="422">
        <v>3</v>
      </c>
      <c r="D37" s="420" t="s">
        <v>531</v>
      </c>
      <c r="E37" s="422"/>
      <c r="F37" s="422"/>
      <c r="G37" s="422"/>
      <c r="H37" s="422"/>
      <c r="I37" s="422"/>
      <c r="J37" s="422" t="s">
        <v>619</v>
      </c>
      <c r="K37" s="422" t="s">
        <v>612</v>
      </c>
      <c r="L37" s="423"/>
      <c r="M37" s="422" t="s">
        <v>611</v>
      </c>
      <c r="N37" s="423">
        <v>46500</v>
      </c>
      <c r="O37" s="422" t="s">
        <v>620</v>
      </c>
      <c r="P37" s="445">
        <v>100</v>
      </c>
      <c r="Q37" s="422"/>
    </row>
    <row r="38" spans="1:17" x14ac:dyDescent="0.25">
      <c r="A38" s="425" t="s">
        <v>381</v>
      </c>
      <c r="B38" s="421" t="s">
        <v>487</v>
      </c>
      <c r="C38" s="422">
        <v>2</v>
      </c>
      <c r="D38" s="420" t="s">
        <v>542</v>
      </c>
      <c r="E38" s="422"/>
      <c r="F38" s="422"/>
      <c r="G38" s="422"/>
      <c r="H38" s="422"/>
      <c r="I38" s="422"/>
      <c r="J38" s="422" t="s">
        <v>619</v>
      </c>
      <c r="K38" s="422" t="s">
        <v>612</v>
      </c>
      <c r="L38" s="423">
        <v>40000</v>
      </c>
      <c r="M38" s="422" t="s">
        <v>614</v>
      </c>
      <c r="N38" s="422"/>
      <c r="O38" s="422" t="s">
        <v>620</v>
      </c>
      <c r="P38" s="445">
        <v>100</v>
      </c>
      <c r="Q38" s="422"/>
    </row>
    <row r="39" spans="1:17" x14ac:dyDescent="0.25">
      <c r="A39" s="425" t="s">
        <v>381</v>
      </c>
      <c r="B39" s="701" t="s">
        <v>630</v>
      </c>
      <c r="C39" s="702"/>
      <c r="D39" s="702"/>
      <c r="E39" s="702"/>
      <c r="F39" s="702"/>
      <c r="G39" s="702"/>
      <c r="H39" s="702"/>
      <c r="I39" s="702"/>
      <c r="J39" s="702"/>
      <c r="K39" s="702"/>
      <c r="L39" s="702"/>
      <c r="M39" s="702"/>
      <c r="N39" s="702"/>
      <c r="O39" s="702"/>
      <c r="P39" s="703"/>
      <c r="Q39" s="422"/>
    </row>
    <row r="40" spans="1:17" x14ac:dyDescent="0.25">
      <c r="A40" s="425" t="s">
        <v>381</v>
      </c>
      <c r="B40" s="703" t="s">
        <v>631</v>
      </c>
      <c r="C40" s="704"/>
      <c r="D40" s="704"/>
      <c r="E40" s="704"/>
      <c r="F40" s="704"/>
      <c r="G40" s="704"/>
      <c r="H40" s="704"/>
      <c r="I40" s="704"/>
      <c r="J40" s="704"/>
      <c r="K40" s="704"/>
      <c r="L40" s="704"/>
      <c r="M40" s="704"/>
      <c r="N40" s="704"/>
      <c r="O40" s="704"/>
      <c r="P40" s="704"/>
      <c r="Q40" s="422"/>
    </row>
    <row r="41" spans="1:17" x14ac:dyDescent="0.25">
      <c r="A41" s="425" t="s">
        <v>381</v>
      </c>
      <c r="B41" s="695" t="s">
        <v>632</v>
      </c>
      <c r="C41" s="696"/>
      <c r="D41" s="696"/>
      <c r="E41" s="696"/>
      <c r="F41" s="696"/>
      <c r="G41" s="696"/>
      <c r="H41" s="696"/>
      <c r="I41" s="696"/>
      <c r="J41" s="696"/>
      <c r="K41" s="696"/>
      <c r="L41" s="696"/>
      <c r="M41" s="696"/>
      <c r="N41" s="696"/>
      <c r="O41" s="696"/>
      <c r="P41" s="697"/>
      <c r="Q41" s="422"/>
    </row>
    <row r="42" spans="1:17" ht="14.45" customHeight="1" x14ac:dyDescent="0.25">
      <c r="A42" s="708" t="s">
        <v>633</v>
      </c>
      <c r="B42" s="508" t="s">
        <v>487</v>
      </c>
      <c r="C42" s="422">
        <v>3</v>
      </c>
      <c r="D42" s="509" t="s">
        <v>542</v>
      </c>
      <c r="E42" s="422"/>
      <c r="F42" s="422"/>
      <c r="G42" s="422"/>
      <c r="H42" s="422"/>
      <c r="I42" s="422"/>
      <c r="J42" s="422" t="s">
        <v>611</v>
      </c>
      <c r="K42" s="422" t="s">
        <v>634</v>
      </c>
      <c r="L42" s="494" t="s">
        <v>613</v>
      </c>
      <c r="M42" s="422" t="s">
        <v>614</v>
      </c>
      <c r="N42" s="422"/>
      <c r="O42" s="422"/>
      <c r="P42" s="445">
        <v>10</v>
      </c>
      <c r="Q42" s="422"/>
    </row>
    <row r="43" spans="1:17" x14ac:dyDescent="0.25">
      <c r="A43" s="709"/>
      <c r="B43" s="508" t="s">
        <v>512</v>
      </c>
      <c r="C43" s="422">
        <v>3</v>
      </c>
      <c r="D43" s="509" t="s">
        <v>490</v>
      </c>
      <c r="E43" s="422"/>
      <c r="F43" s="422"/>
      <c r="G43" s="422"/>
      <c r="H43" s="422"/>
      <c r="I43" s="422"/>
      <c r="J43" s="422" t="s">
        <v>611</v>
      </c>
      <c r="K43" s="422" t="s">
        <v>634</v>
      </c>
      <c r="L43" s="494" t="s">
        <v>613</v>
      </c>
      <c r="M43" s="422" t="s">
        <v>614</v>
      </c>
      <c r="N43" s="422"/>
      <c r="O43" s="422"/>
      <c r="P43" s="445">
        <v>10</v>
      </c>
      <c r="Q43" s="422"/>
    </row>
    <row r="44" spans="1:17" x14ac:dyDescent="0.25">
      <c r="A44" s="709"/>
      <c r="B44" s="508" t="s">
        <v>516</v>
      </c>
      <c r="C44" s="422">
        <v>3</v>
      </c>
      <c r="D44" s="509" t="s">
        <v>517</v>
      </c>
      <c r="E44" s="422"/>
      <c r="F44" s="422"/>
      <c r="G44" s="422"/>
      <c r="H44" s="422"/>
      <c r="I44" s="422"/>
      <c r="J44" s="422" t="s">
        <v>611</v>
      </c>
      <c r="K44" s="422" t="s">
        <v>634</v>
      </c>
      <c r="L44" s="494" t="s">
        <v>613</v>
      </c>
      <c r="M44" s="422" t="s">
        <v>614</v>
      </c>
      <c r="N44" s="422"/>
      <c r="O44" s="422"/>
      <c r="P44" s="445">
        <v>5</v>
      </c>
      <c r="Q44" s="422"/>
    </row>
    <row r="45" spans="1:17" x14ac:dyDescent="0.25">
      <c r="A45" s="709"/>
      <c r="B45" s="508" t="s">
        <v>491</v>
      </c>
      <c r="C45" s="422">
        <v>3</v>
      </c>
      <c r="D45" s="509" t="s">
        <v>520</v>
      </c>
      <c r="E45" s="422"/>
      <c r="F45" s="422"/>
      <c r="G45" s="422"/>
      <c r="H45" s="422"/>
      <c r="I45" s="422"/>
      <c r="J45" s="422" t="s">
        <v>611</v>
      </c>
      <c r="K45" s="422" t="s">
        <v>634</v>
      </c>
      <c r="L45" s="494" t="s">
        <v>613</v>
      </c>
      <c r="M45" s="422" t="s">
        <v>614</v>
      </c>
      <c r="N45" s="422"/>
      <c r="O45" s="422"/>
      <c r="P45" s="445">
        <v>5</v>
      </c>
      <c r="Q45" s="422"/>
    </row>
    <row r="46" spans="1:17" x14ac:dyDescent="0.25">
      <c r="A46" s="709"/>
      <c r="B46" s="508" t="s">
        <v>489</v>
      </c>
      <c r="C46" s="422">
        <v>3</v>
      </c>
      <c r="D46" s="509"/>
      <c r="E46" s="422"/>
      <c r="F46" s="422"/>
      <c r="G46" s="422"/>
      <c r="H46" s="422"/>
      <c r="I46" s="422"/>
      <c r="J46" s="422"/>
      <c r="K46" s="422"/>
      <c r="L46" s="494" t="s">
        <v>613</v>
      </c>
      <c r="M46" s="422" t="s">
        <v>614</v>
      </c>
      <c r="N46" s="422"/>
      <c r="O46" s="422"/>
      <c r="P46" s="445">
        <v>0</v>
      </c>
      <c r="Q46" s="422"/>
    </row>
    <row r="47" spans="1:17" x14ac:dyDescent="0.25">
      <c r="A47" s="709"/>
      <c r="B47" s="508" t="s">
        <v>521</v>
      </c>
      <c r="C47" s="422">
        <v>2</v>
      </c>
      <c r="D47" s="509" t="s">
        <v>526</v>
      </c>
      <c r="E47" s="422"/>
      <c r="F47" s="422"/>
      <c r="G47" s="422"/>
      <c r="H47" s="422"/>
      <c r="I47" s="422"/>
      <c r="J47" s="422" t="s">
        <v>611</v>
      </c>
      <c r="K47" s="422" t="s">
        <v>634</v>
      </c>
      <c r="L47" s="494" t="s">
        <v>613</v>
      </c>
      <c r="M47" s="422" t="s">
        <v>614</v>
      </c>
      <c r="N47" s="422"/>
      <c r="O47" s="422"/>
      <c r="P47" s="445">
        <v>0</v>
      </c>
      <c r="Q47" s="422"/>
    </row>
    <row r="48" spans="1:17" x14ac:dyDescent="0.25">
      <c r="A48" s="709"/>
      <c r="B48" s="508" t="s">
        <v>523</v>
      </c>
      <c r="C48" s="422">
        <v>2</v>
      </c>
      <c r="D48" s="509" t="s">
        <v>488</v>
      </c>
      <c r="E48" s="422"/>
      <c r="F48" s="422"/>
      <c r="G48" s="422"/>
      <c r="H48" s="422"/>
      <c r="I48" s="422"/>
      <c r="J48" s="422" t="s">
        <v>611</v>
      </c>
      <c r="K48" s="422" t="s">
        <v>634</v>
      </c>
      <c r="L48" s="494" t="s">
        <v>613</v>
      </c>
      <c r="M48" s="422" t="s">
        <v>614</v>
      </c>
      <c r="N48" s="422"/>
      <c r="O48" s="422"/>
      <c r="P48" s="445">
        <v>0</v>
      </c>
      <c r="Q48" s="422"/>
    </row>
    <row r="49" spans="1:17" x14ac:dyDescent="0.25">
      <c r="A49" s="709"/>
      <c r="B49" s="508" t="s">
        <v>525</v>
      </c>
      <c r="C49" s="422">
        <v>3</v>
      </c>
      <c r="D49" s="509" t="s">
        <v>635</v>
      </c>
      <c r="E49" s="422"/>
      <c r="F49" s="422"/>
      <c r="G49" s="422"/>
      <c r="H49" s="422"/>
      <c r="I49" s="422"/>
      <c r="J49" s="422" t="s">
        <v>611</v>
      </c>
      <c r="K49" s="422" t="s">
        <v>634</v>
      </c>
      <c r="L49" s="494" t="s">
        <v>613</v>
      </c>
      <c r="M49" s="422" t="s">
        <v>614</v>
      </c>
      <c r="N49" s="422"/>
      <c r="O49" s="422"/>
      <c r="P49" s="445">
        <v>0</v>
      </c>
      <c r="Q49" s="422"/>
    </row>
    <row r="50" spans="1:17" x14ac:dyDescent="0.25">
      <c r="A50" s="709"/>
      <c r="B50" s="508" t="s">
        <v>527</v>
      </c>
      <c r="C50" s="422">
        <v>3</v>
      </c>
      <c r="D50" s="509" t="s">
        <v>530</v>
      </c>
      <c r="E50" s="422"/>
      <c r="F50" s="422"/>
      <c r="G50" s="422"/>
      <c r="H50" s="422"/>
      <c r="I50" s="422"/>
      <c r="J50" s="422" t="s">
        <v>611</v>
      </c>
      <c r="K50" s="422" t="s">
        <v>634</v>
      </c>
      <c r="L50" s="494" t="s">
        <v>613</v>
      </c>
      <c r="M50" s="422" t="s">
        <v>614</v>
      </c>
      <c r="N50" s="422"/>
      <c r="O50" s="422"/>
      <c r="P50" s="445">
        <v>0</v>
      </c>
      <c r="Q50" s="422"/>
    </row>
    <row r="51" spans="1:17" x14ac:dyDescent="0.25">
      <c r="A51" s="709"/>
      <c r="B51" s="508" t="s">
        <v>514</v>
      </c>
      <c r="C51" s="422">
        <v>3</v>
      </c>
      <c r="D51" s="509" t="s">
        <v>531</v>
      </c>
      <c r="E51" s="422"/>
      <c r="F51" s="422"/>
      <c r="G51" s="422"/>
      <c r="H51" s="422"/>
      <c r="I51" s="422"/>
      <c r="J51" s="422" t="s">
        <v>611</v>
      </c>
      <c r="K51" s="422" t="s">
        <v>634</v>
      </c>
      <c r="L51" s="494" t="s">
        <v>613</v>
      </c>
      <c r="M51" s="422" t="s">
        <v>614</v>
      </c>
      <c r="N51" s="422"/>
      <c r="O51" s="422"/>
      <c r="P51" s="445">
        <v>0</v>
      </c>
      <c r="Q51" s="422"/>
    </row>
    <row r="52" spans="1:17" x14ac:dyDescent="0.25">
      <c r="A52" s="709"/>
      <c r="B52" s="508" t="s">
        <v>636</v>
      </c>
      <c r="C52" s="422">
        <v>2</v>
      </c>
      <c r="D52" s="509" t="s">
        <v>533</v>
      </c>
      <c r="E52" s="422"/>
      <c r="F52" s="422"/>
      <c r="G52" s="422"/>
      <c r="H52" s="422"/>
      <c r="I52" s="422"/>
      <c r="J52" s="422" t="s">
        <v>611</v>
      </c>
      <c r="K52" s="422" t="s">
        <v>634</v>
      </c>
      <c r="L52" s="494" t="s">
        <v>613</v>
      </c>
      <c r="M52" s="422" t="s">
        <v>614</v>
      </c>
      <c r="N52" s="422"/>
      <c r="O52" s="422"/>
      <c r="P52" s="445">
        <v>0</v>
      </c>
      <c r="Q52" s="422"/>
    </row>
    <row r="53" spans="1:17" x14ac:dyDescent="0.25">
      <c r="A53" s="709"/>
      <c r="B53" s="508" t="s">
        <v>521</v>
      </c>
      <c r="C53" s="422">
        <v>2</v>
      </c>
      <c r="D53" s="509" t="s">
        <v>519</v>
      </c>
      <c r="E53" s="422"/>
      <c r="F53" s="422"/>
      <c r="G53" s="422"/>
      <c r="H53" s="422"/>
      <c r="I53" s="422"/>
      <c r="J53" s="422" t="s">
        <v>611</v>
      </c>
      <c r="K53" s="422" t="s">
        <v>634</v>
      </c>
      <c r="L53" s="494"/>
      <c r="M53" s="422" t="s">
        <v>611</v>
      </c>
      <c r="N53" s="422"/>
      <c r="O53" s="422" t="s">
        <v>637</v>
      </c>
      <c r="P53" s="445">
        <v>0</v>
      </c>
      <c r="Q53" s="422"/>
    </row>
    <row r="54" spans="1:17" x14ac:dyDescent="0.25">
      <c r="A54" s="709"/>
      <c r="B54" s="508" t="s">
        <v>512</v>
      </c>
      <c r="C54" s="422">
        <v>2</v>
      </c>
      <c r="D54" s="509" t="s">
        <v>528</v>
      </c>
      <c r="E54" s="422"/>
      <c r="F54" s="422"/>
      <c r="G54" s="422"/>
      <c r="H54" s="422"/>
      <c r="I54" s="422"/>
      <c r="J54" s="422" t="s">
        <v>611</v>
      </c>
      <c r="K54" s="422" t="s">
        <v>634</v>
      </c>
      <c r="L54" s="494"/>
      <c r="M54" s="422" t="s">
        <v>611</v>
      </c>
      <c r="N54" s="422"/>
      <c r="O54" s="422" t="s">
        <v>637</v>
      </c>
      <c r="P54" s="445">
        <v>0</v>
      </c>
      <c r="Q54" s="422"/>
    </row>
    <row r="55" spans="1:17" x14ac:dyDescent="0.25">
      <c r="A55" s="710"/>
      <c r="B55" s="508" t="s">
        <v>521</v>
      </c>
      <c r="C55" s="422">
        <v>2</v>
      </c>
      <c r="D55" s="509" t="s">
        <v>539</v>
      </c>
      <c r="E55" s="422"/>
      <c r="F55" s="422"/>
      <c r="G55" s="422"/>
      <c r="H55" s="422"/>
      <c r="I55" s="422"/>
      <c r="J55" s="422" t="s">
        <v>611</v>
      </c>
      <c r="K55" s="422" t="s">
        <v>634</v>
      </c>
      <c r="L55" s="494"/>
      <c r="M55" s="422" t="s">
        <v>611</v>
      </c>
      <c r="N55" s="422"/>
      <c r="O55" s="422" t="s">
        <v>637</v>
      </c>
      <c r="P55" s="445">
        <v>0</v>
      </c>
      <c r="Q55" s="422"/>
    </row>
    <row r="56" spans="1:17" ht="14.45" customHeight="1" x14ac:dyDescent="0.25">
      <c r="A56" s="711" t="s">
        <v>638</v>
      </c>
      <c r="B56" s="508" t="s">
        <v>491</v>
      </c>
      <c r="C56" s="422">
        <v>3</v>
      </c>
      <c r="D56" s="422" t="s">
        <v>542</v>
      </c>
      <c r="E56" s="422"/>
      <c r="F56" s="422"/>
      <c r="G56" s="422"/>
      <c r="H56" s="422"/>
      <c r="I56" s="422"/>
      <c r="J56" s="422" t="s">
        <v>611</v>
      </c>
      <c r="K56" s="422" t="s">
        <v>634</v>
      </c>
      <c r="L56" s="494" t="s">
        <v>613</v>
      </c>
      <c r="M56" s="422" t="s">
        <v>614</v>
      </c>
      <c r="N56" s="422"/>
      <c r="O56" s="422" t="s">
        <v>639</v>
      </c>
      <c r="P56" s="445">
        <v>10</v>
      </c>
      <c r="Q56" s="422"/>
    </row>
    <row r="57" spans="1:17" x14ac:dyDescent="0.25">
      <c r="A57" s="712"/>
      <c r="B57" s="508" t="s">
        <v>512</v>
      </c>
      <c r="C57" s="422">
        <v>3</v>
      </c>
      <c r="D57" s="422" t="s">
        <v>490</v>
      </c>
      <c r="E57" s="422"/>
      <c r="F57" s="422"/>
      <c r="G57" s="422"/>
      <c r="H57" s="422"/>
      <c r="I57" s="422"/>
      <c r="J57" s="422" t="s">
        <v>611</v>
      </c>
      <c r="K57" s="422" t="s">
        <v>634</v>
      </c>
      <c r="L57" s="494" t="s">
        <v>613</v>
      </c>
      <c r="M57" s="422" t="s">
        <v>614</v>
      </c>
      <c r="N57" s="422"/>
      <c r="O57" s="422" t="s">
        <v>639</v>
      </c>
      <c r="P57" s="445">
        <v>10</v>
      </c>
      <c r="Q57" s="422"/>
    </row>
    <row r="58" spans="1:17" x14ac:dyDescent="0.25">
      <c r="A58" s="712"/>
      <c r="B58" s="508" t="s">
        <v>525</v>
      </c>
      <c r="C58" s="422">
        <v>3</v>
      </c>
      <c r="D58" s="422" t="s">
        <v>515</v>
      </c>
      <c r="E58" s="422"/>
      <c r="F58" s="422"/>
      <c r="G58" s="422"/>
      <c r="H58" s="422"/>
      <c r="I58" s="422"/>
      <c r="J58" s="422" t="s">
        <v>611</v>
      </c>
      <c r="K58" s="422" t="s">
        <v>634</v>
      </c>
      <c r="L58" s="494" t="s">
        <v>613</v>
      </c>
      <c r="M58" s="422" t="s">
        <v>614</v>
      </c>
      <c r="N58" s="422"/>
      <c r="O58" s="422" t="s">
        <v>639</v>
      </c>
      <c r="P58" s="445">
        <v>15</v>
      </c>
      <c r="Q58" s="422"/>
    </row>
    <row r="59" spans="1:17" x14ac:dyDescent="0.25">
      <c r="A59" s="712"/>
      <c r="B59" s="508" t="s">
        <v>516</v>
      </c>
      <c r="C59" s="422">
        <v>3</v>
      </c>
      <c r="D59" s="422" t="s">
        <v>517</v>
      </c>
      <c r="E59" s="422"/>
      <c r="F59" s="422" t="s">
        <v>302</v>
      </c>
      <c r="G59" s="422"/>
      <c r="H59" s="422"/>
      <c r="I59" s="422"/>
      <c r="J59" s="422" t="s">
        <v>611</v>
      </c>
      <c r="K59" s="422" t="s">
        <v>640</v>
      </c>
      <c r="L59" s="494" t="s">
        <v>613</v>
      </c>
      <c r="M59" s="422" t="s">
        <v>614</v>
      </c>
      <c r="N59" s="422"/>
      <c r="O59" s="422" t="s">
        <v>639</v>
      </c>
      <c r="P59" s="445">
        <v>10</v>
      </c>
      <c r="Q59" s="422"/>
    </row>
    <row r="60" spans="1:17" x14ac:dyDescent="0.25">
      <c r="A60" s="712"/>
      <c r="B60" s="508" t="s">
        <v>489</v>
      </c>
      <c r="C60" s="422">
        <v>3</v>
      </c>
      <c r="D60" s="422" t="s">
        <v>533</v>
      </c>
      <c r="E60" s="422"/>
      <c r="F60" s="422"/>
      <c r="G60" s="422"/>
      <c r="H60" s="422"/>
      <c r="I60" s="422"/>
      <c r="J60" s="422" t="s">
        <v>611</v>
      </c>
      <c r="K60" s="422" t="s">
        <v>634</v>
      </c>
      <c r="L60" s="494" t="s">
        <v>613</v>
      </c>
      <c r="M60" s="422" t="s">
        <v>614</v>
      </c>
      <c r="N60" s="422"/>
      <c r="O60" s="422" t="s">
        <v>639</v>
      </c>
      <c r="P60" s="445">
        <v>15</v>
      </c>
      <c r="Q60" s="422"/>
    </row>
    <row r="61" spans="1:17" x14ac:dyDescent="0.25">
      <c r="A61" s="712"/>
      <c r="B61" s="508" t="s">
        <v>487</v>
      </c>
      <c r="C61" s="422">
        <v>2</v>
      </c>
      <c r="D61" s="422" t="s">
        <v>520</v>
      </c>
      <c r="E61" s="422"/>
      <c r="F61" s="422"/>
      <c r="G61" s="422"/>
      <c r="H61" s="422"/>
      <c r="I61" s="422"/>
      <c r="J61" s="422" t="s">
        <v>611</v>
      </c>
      <c r="K61" s="422" t="s">
        <v>634</v>
      </c>
      <c r="L61" s="494" t="s">
        <v>613</v>
      </c>
      <c r="M61" s="422" t="s">
        <v>614</v>
      </c>
      <c r="N61" s="422"/>
      <c r="O61" s="422" t="s">
        <v>639</v>
      </c>
      <c r="P61" s="445">
        <v>15</v>
      </c>
      <c r="Q61" s="422"/>
    </row>
    <row r="62" spans="1:17" x14ac:dyDescent="0.25">
      <c r="A62" s="712"/>
      <c r="B62" s="508" t="s">
        <v>521</v>
      </c>
      <c r="C62" s="422">
        <v>3</v>
      </c>
      <c r="D62" s="422" t="s">
        <v>522</v>
      </c>
      <c r="E62" s="422"/>
      <c r="F62" s="422"/>
      <c r="G62" s="422"/>
      <c r="H62" s="422"/>
      <c r="I62" s="422"/>
      <c r="J62" s="422" t="s">
        <v>611</v>
      </c>
      <c r="K62" s="422" t="s">
        <v>634</v>
      </c>
      <c r="L62" s="494" t="s">
        <v>613</v>
      </c>
      <c r="M62" s="422" t="s">
        <v>614</v>
      </c>
      <c r="N62" s="422"/>
      <c r="O62" s="422" t="s">
        <v>639</v>
      </c>
      <c r="P62" s="445">
        <v>5</v>
      </c>
      <c r="Q62" s="422"/>
    </row>
    <row r="63" spans="1:17" x14ac:dyDescent="0.25">
      <c r="A63" s="712"/>
      <c r="B63" s="508" t="s">
        <v>523</v>
      </c>
      <c r="C63" s="422">
        <v>3</v>
      </c>
      <c r="D63" s="422" t="s">
        <v>526</v>
      </c>
      <c r="E63" s="422"/>
      <c r="F63" s="422"/>
      <c r="G63" s="422"/>
      <c r="H63" s="422"/>
      <c r="I63" s="422"/>
      <c r="J63" s="422" t="s">
        <v>611</v>
      </c>
      <c r="K63" s="422" t="s">
        <v>634</v>
      </c>
      <c r="L63" s="494" t="s">
        <v>613</v>
      </c>
      <c r="M63" s="422" t="s">
        <v>614</v>
      </c>
      <c r="N63" s="422"/>
      <c r="O63" s="422" t="s">
        <v>639</v>
      </c>
      <c r="P63" s="445">
        <v>0</v>
      </c>
      <c r="Q63" s="422"/>
    </row>
    <row r="64" spans="1:17" x14ac:dyDescent="0.25">
      <c r="A64" s="712"/>
      <c r="B64" s="508" t="s">
        <v>527</v>
      </c>
      <c r="C64" s="422">
        <v>3</v>
      </c>
      <c r="D64" s="422" t="s">
        <v>488</v>
      </c>
      <c r="E64" s="422"/>
      <c r="F64" s="422"/>
      <c r="G64" s="422"/>
      <c r="H64" s="422"/>
      <c r="I64" s="422"/>
      <c r="J64" s="422" t="s">
        <v>611</v>
      </c>
      <c r="K64" s="422" t="s">
        <v>634</v>
      </c>
      <c r="L64" s="494" t="s">
        <v>613</v>
      </c>
      <c r="M64" s="422" t="s">
        <v>614</v>
      </c>
      <c r="N64" s="422"/>
      <c r="O64" s="422" t="s">
        <v>639</v>
      </c>
      <c r="P64" s="445">
        <v>0</v>
      </c>
      <c r="Q64" s="422"/>
    </row>
    <row r="65" spans="1:17" x14ac:dyDescent="0.25">
      <c r="A65" s="712"/>
      <c r="B65" s="422" t="s">
        <v>514</v>
      </c>
      <c r="C65" s="422">
        <v>2</v>
      </c>
      <c r="D65" s="422" t="s">
        <v>641</v>
      </c>
      <c r="E65" s="422"/>
      <c r="F65" s="422"/>
      <c r="G65" s="422"/>
      <c r="H65" s="422"/>
      <c r="I65" s="422"/>
      <c r="J65" s="422" t="s">
        <v>611</v>
      </c>
      <c r="K65" s="422" t="s">
        <v>634</v>
      </c>
      <c r="L65" s="494" t="s">
        <v>613</v>
      </c>
      <c r="M65" s="422" t="s">
        <v>614</v>
      </c>
      <c r="N65" s="422"/>
      <c r="O65" s="422" t="s">
        <v>639</v>
      </c>
      <c r="P65" s="445">
        <v>0</v>
      </c>
      <c r="Q65" s="422"/>
    </row>
    <row r="66" spans="1:17" x14ac:dyDescent="0.25">
      <c r="A66" s="712"/>
      <c r="B66" s="422" t="s">
        <v>512</v>
      </c>
      <c r="C66" s="422">
        <v>2</v>
      </c>
      <c r="D66" s="422" t="s">
        <v>635</v>
      </c>
      <c r="E66" s="422"/>
      <c r="F66" s="422"/>
      <c r="G66" s="422"/>
      <c r="H66" s="422"/>
      <c r="I66" s="422"/>
      <c r="J66" s="422" t="s">
        <v>611</v>
      </c>
      <c r="K66" s="422" t="s">
        <v>634</v>
      </c>
      <c r="L66" s="494" t="s">
        <v>613</v>
      </c>
      <c r="M66" s="422" t="s">
        <v>614</v>
      </c>
      <c r="N66" s="422"/>
      <c r="O66" s="422" t="s">
        <v>639</v>
      </c>
      <c r="P66" s="445">
        <v>0</v>
      </c>
      <c r="Q66" s="422"/>
    </row>
    <row r="67" spans="1:17" x14ac:dyDescent="0.25">
      <c r="A67" s="712"/>
      <c r="B67" s="422" t="s">
        <v>521</v>
      </c>
      <c r="C67" s="422">
        <v>2</v>
      </c>
      <c r="D67" s="422" t="s">
        <v>530</v>
      </c>
      <c r="E67" s="422"/>
      <c r="F67" s="422"/>
      <c r="G67" s="422"/>
      <c r="H67" s="422"/>
      <c r="I67" s="422"/>
      <c r="J67" s="422" t="s">
        <v>611</v>
      </c>
      <c r="K67" s="422" t="s">
        <v>634</v>
      </c>
      <c r="L67" s="494" t="s">
        <v>613</v>
      </c>
      <c r="M67" s="422" t="s">
        <v>614</v>
      </c>
      <c r="N67" s="422"/>
      <c r="O67" s="422" t="s">
        <v>639</v>
      </c>
      <c r="P67" s="445">
        <v>0</v>
      </c>
      <c r="Q67" s="422"/>
    </row>
    <row r="68" spans="1:17" x14ac:dyDescent="0.25">
      <c r="A68" s="712"/>
      <c r="B68" s="422" t="s">
        <v>642</v>
      </c>
      <c r="C68" s="422">
        <v>2</v>
      </c>
      <c r="D68" s="422" t="s">
        <v>531</v>
      </c>
      <c r="E68" s="422"/>
      <c r="F68" s="422"/>
      <c r="G68" s="422"/>
      <c r="H68" s="422"/>
      <c r="I68" s="422"/>
      <c r="J68" s="422" t="s">
        <v>611</v>
      </c>
      <c r="K68" s="422" t="s">
        <v>634</v>
      </c>
      <c r="L68" s="494" t="s">
        <v>613</v>
      </c>
      <c r="M68" s="422" t="s">
        <v>614</v>
      </c>
      <c r="N68" s="422"/>
      <c r="O68" s="422" t="s">
        <v>639</v>
      </c>
      <c r="P68" s="445">
        <v>0</v>
      </c>
      <c r="Q68" s="422"/>
    </row>
    <row r="69" spans="1:17" x14ac:dyDescent="0.25">
      <c r="A69" s="712"/>
      <c r="B69" s="422" t="s">
        <v>643</v>
      </c>
      <c r="C69" s="422">
        <v>2</v>
      </c>
      <c r="D69" s="422" t="s">
        <v>540</v>
      </c>
      <c r="E69" s="422"/>
      <c r="F69" s="422"/>
      <c r="G69" s="422"/>
      <c r="H69" s="422"/>
      <c r="I69" s="422"/>
      <c r="J69" s="422" t="s">
        <v>611</v>
      </c>
      <c r="K69" s="422" t="s">
        <v>634</v>
      </c>
      <c r="L69" s="494" t="s">
        <v>613</v>
      </c>
      <c r="M69" s="422" t="s">
        <v>614</v>
      </c>
      <c r="N69" s="422"/>
      <c r="O69" s="422" t="s">
        <v>639</v>
      </c>
      <c r="P69" s="445">
        <v>0</v>
      </c>
      <c r="Q69" s="422"/>
    </row>
    <row r="70" spans="1:17" x14ac:dyDescent="0.25">
      <c r="A70" s="712"/>
      <c r="B70" s="422" t="s">
        <v>521</v>
      </c>
      <c r="C70" s="422">
        <v>2</v>
      </c>
      <c r="D70" s="422" t="s">
        <v>519</v>
      </c>
      <c r="E70" s="422"/>
      <c r="F70" s="422"/>
      <c r="G70" s="422"/>
      <c r="H70" s="422"/>
      <c r="I70" s="422"/>
      <c r="J70" s="422" t="s">
        <v>611</v>
      </c>
      <c r="K70" s="422" t="s">
        <v>634</v>
      </c>
      <c r="L70" s="422"/>
      <c r="M70" s="422" t="s">
        <v>611</v>
      </c>
      <c r="N70" s="422"/>
      <c r="O70" s="422" t="s">
        <v>639</v>
      </c>
      <c r="P70" s="445">
        <v>0</v>
      </c>
      <c r="Q70" s="422"/>
    </row>
    <row r="71" spans="1:17" x14ac:dyDescent="0.25">
      <c r="A71" s="712"/>
      <c r="B71" s="422" t="s">
        <v>521</v>
      </c>
      <c r="C71" s="422">
        <v>2</v>
      </c>
      <c r="D71" s="422" t="s">
        <v>539</v>
      </c>
      <c r="E71" s="422"/>
      <c r="F71" s="422"/>
      <c r="G71" s="422"/>
      <c r="H71" s="422"/>
      <c r="I71" s="422"/>
      <c r="J71" s="422" t="s">
        <v>611</v>
      </c>
      <c r="K71" s="422" t="s">
        <v>634</v>
      </c>
      <c r="L71" s="422"/>
      <c r="M71" s="422" t="s">
        <v>611</v>
      </c>
      <c r="N71" s="422"/>
      <c r="O71" s="422" t="s">
        <v>639</v>
      </c>
      <c r="P71" s="445">
        <v>10</v>
      </c>
      <c r="Q71" s="422"/>
    </row>
    <row r="72" spans="1:17" x14ac:dyDescent="0.25">
      <c r="A72" s="713" t="s">
        <v>378</v>
      </c>
      <c r="B72" s="511" t="s">
        <v>516</v>
      </c>
      <c r="C72" s="422">
        <v>3</v>
      </c>
      <c r="D72" s="509" t="s">
        <v>515</v>
      </c>
      <c r="E72" s="422"/>
      <c r="F72" s="422"/>
      <c r="G72" s="422"/>
      <c r="H72" s="422"/>
      <c r="I72" s="422"/>
      <c r="J72" s="422" t="s">
        <v>644</v>
      </c>
      <c r="K72" s="422" t="s">
        <v>645</v>
      </c>
      <c r="L72" s="494" t="s">
        <v>613</v>
      </c>
      <c r="M72" s="422" t="s">
        <v>614</v>
      </c>
      <c r="N72" s="422"/>
      <c r="O72" s="422"/>
      <c r="P72" s="445">
        <v>10</v>
      </c>
      <c r="Q72" s="422"/>
    </row>
    <row r="73" spans="1:17" x14ac:dyDescent="0.25">
      <c r="A73" s="713"/>
      <c r="B73" s="511" t="s">
        <v>487</v>
      </c>
      <c r="C73" s="422">
        <v>2</v>
      </c>
      <c r="D73" s="509" t="s">
        <v>520</v>
      </c>
      <c r="E73" s="422"/>
      <c r="F73" s="422"/>
      <c r="G73" s="422"/>
      <c r="H73" s="422"/>
      <c r="I73" s="422"/>
      <c r="J73" s="422" t="s">
        <v>644</v>
      </c>
      <c r="K73" s="422" t="s">
        <v>645</v>
      </c>
      <c r="L73" s="494" t="s">
        <v>613</v>
      </c>
      <c r="M73" s="422" t="s">
        <v>614</v>
      </c>
      <c r="N73" s="422"/>
      <c r="O73" s="422"/>
      <c r="P73" s="445">
        <v>10</v>
      </c>
      <c r="Q73" s="422"/>
    </row>
    <row r="74" spans="1:17" x14ac:dyDescent="0.25">
      <c r="A74" s="713"/>
      <c r="B74" s="511" t="s">
        <v>521</v>
      </c>
      <c r="C74" s="422">
        <v>2</v>
      </c>
      <c r="D74" s="510" t="s">
        <v>522</v>
      </c>
      <c r="E74" s="422"/>
      <c r="F74" s="422"/>
      <c r="G74" s="422"/>
      <c r="H74" s="422"/>
      <c r="I74" s="422"/>
      <c r="J74" s="422" t="s">
        <v>644</v>
      </c>
      <c r="K74" s="422" t="s">
        <v>645</v>
      </c>
      <c r="L74" s="494" t="s">
        <v>613</v>
      </c>
      <c r="M74" s="422" t="s">
        <v>614</v>
      </c>
      <c r="N74" s="422"/>
      <c r="O74" s="422"/>
      <c r="P74" s="445">
        <v>5</v>
      </c>
      <c r="Q74" s="422"/>
    </row>
    <row r="75" spans="1:17" x14ac:dyDescent="0.25">
      <c r="A75" s="713"/>
      <c r="B75" s="511" t="s">
        <v>512</v>
      </c>
      <c r="C75" s="422">
        <v>3</v>
      </c>
      <c r="D75" s="509" t="s">
        <v>533</v>
      </c>
      <c r="E75" s="422"/>
      <c r="F75" s="422"/>
      <c r="G75" s="422"/>
      <c r="H75" s="422"/>
      <c r="I75" s="422"/>
      <c r="J75" s="422" t="s">
        <v>644</v>
      </c>
      <c r="K75" s="422" t="s">
        <v>645</v>
      </c>
      <c r="L75" s="494" t="s">
        <v>613</v>
      </c>
      <c r="M75" s="422" t="s">
        <v>614</v>
      </c>
      <c r="N75" s="422"/>
      <c r="O75" s="422"/>
      <c r="P75" s="445">
        <v>4</v>
      </c>
      <c r="Q75" s="422"/>
    </row>
    <row r="76" spans="1:17" ht="14.45" customHeight="1" x14ac:dyDescent="0.25">
      <c r="A76" s="713"/>
      <c r="B76" s="511" t="s">
        <v>525</v>
      </c>
      <c r="C76" s="422">
        <v>2</v>
      </c>
      <c r="D76" s="509" t="s">
        <v>526</v>
      </c>
      <c r="E76" s="422"/>
      <c r="F76" s="422"/>
      <c r="G76" s="422"/>
      <c r="H76" s="422"/>
      <c r="I76" s="422"/>
      <c r="J76" s="422" t="s">
        <v>644</v>
      </c>
      <c r="K76" s="422" t="s">
        <v>645</v>
      </c>
      <c r="L76" s="494" t="s">
        <v>613</v>
      </c>
      <c r="M76" s="422" t="s">
        <v>614</v>
      </c>
      <c r="N76" s="422"/>
      <c r="O76" s="422"/>
      <c r="P76" s="445"/>
      <c r="Q76" s="422"/>
    </row>
    <row r="77" spans="1:17" x14ac:dyDescent="0.25">
      <c r="A77" s="713"/>
      <c r="B77" s="511" t="s">
        <v>491</v>
      </c>
      <c r="C77" s="422">
        <v>3</v>
      </c>
      <c r="D77" s="509" t="s">
        <v>488</v>
      </c>
      <c r="E77" s="422"/>
      <c r="F77" s="422"/>
      <c r="G77" s="422"/>
      <c r="H77" s="422"/>
      <c r="I77" s="422"/>
      <c r="J77" s="422" t="s">
        <v>644</v>
      </c>
      <c r="K77" s="422" t="s">
        <v>645</v>
      </c>
      <c r="L77" s="494" t="s">
        <v>613</v>
      </c>
      <c r="M77" s="422" t="s">
        <v>614</v>
      </c>
      <c r="N77" s="422"/>
      <c r="O77" s="422"/>
      <c r="P77" s="445">
        <v>0</v>
      </c>
      <c r="Q77" s="422"/>
    </row>
    <row r="78" spans="1:17" x14ac:dyDescent="0.25">
      <c r="A78" s="713"/>
      <c r="B78" s="511" t="s">
        <v>489</v>
      </c>
      <c r="C78" s="422">
        <v>3</v>
      </c>
      <c r="D78" s="510" t="s">
        <v>641</v>
      </c>
      <c r="E78" s="422"/>
      <c r="F78" s="422"/>
      <c r="G78" s="422"/>
      <c r="H78" s="422"/>
      <c r="I78" s="422"/>
      <c r="J78" s="422" t="s">
        <v>644</v>
      </c>
      <c r="K78" s="422" t="s">
        <v>645</v>
      </c>
      <c r="L78" s="494" t="s">
        <v>613</v>
      </c>
      <c r="M78" s="422" t="s">
        <v>614</v>
      </c>
      <c r="N78" s="422"/>
      <c r="O78" s="422"/>
      <c r="P78" s="445">
        <v>15</v>
      </c>
      <c r="Q78" s="422"/>
    </row>
    <row r="79" spans="1:17" x14ac:dyDescent="0.25">
      <c r="A79" s="713"/>
      <c r="B79" s="511" t="s">
        <v>527</v>
      </c>
      <c r="C79" s="422">
        <v>3</v>
      </c>
      <c r="D79" s="510" t="s">
        <v>635</v>
      </c>
      <c r="E79" s="422"/>
      <c r="F79" s="422"/>
      <c r="G79" s="422"/>
      <c r="H79" s="422"/>
      <c r="I79" s="422"/>
      <c r="J79" s="422" t="s">
        <v>644</v>
      </c>
      <c r="K79" s="422" t="s">
        <v>645</v>
      </c>
      <c r="L79" s="494" t="s">
        <v>613</v>
      </c>
      <c r="M79" s="422" t="s">
        <v>614</v>
      </c>
      <c r="N79" s="422"/>
      <c r="O79" s="422"/>
      <c r="P79" s="445">
        <v>0</v>
      </c>
      <c r="Q79" s="422"/>
    </row>
    <row r="80" spans="1:17" x14ac:dyDescent="0.25">
      <c r="A80" s="713"/>
      <c r="B80" s="511" t="s">
        <v>523</v>
      </c>
      <c r="C80" s="422">
        <v>3</v>
      </c>
      <c r="D80" s="509" t="s">
        <v>530</v>
      </c>
      <c r="E80" s="422"/>
      <c r="F80" s="422"/>
      <c r="G80" s="422"/>
      <c r="H80" s="422"/>
      <c r="I80" s="422"/>
      <c r="J80" s="422" t="s">
        <v>644</v>
      </c>
      <c r="K80" s="422" t="s">
        <v>645</v>
      </c>
      <c r="L80" s="494" t="s">
        <v>613</v>
      </c>
      <c r="M80" s="422" t="s">
        <v>614</v>
      </c>
      <c r="N80" s="422"/>
      <c r="O80" s="422"/>
      <c r="P80" s="445">
        <v>0</v>
      </c>
      <c r="Q80" s="422"/>
    </row>
    <row r="81" spans="1:17" x14ac:dyDescent="0.25">
      <c r="A81" s="713"/>
      <c r="B81" s="511" t="s">
        <v>642</v>
      </c>
      <c r="C81" s="422">
        <v>3</v>
      </c>
      <c r="D81" s="509" t="s">
        <v>538</v>
      </c>
      <c r="E81" s="422"/>
      <c r="F81" s="422"/>
      <c r="G81" s="422"/>
      <c r="H81" s="422"/>
      <c r="I81" s="422"/>
      <c r="J81" s="422" t="s">
        <v>644</v>
      </c>
      <c r="K81" s="422" t="s">
        <v>645</v>
      </c>
      <c r="L81" s="494" t="s">
        <v>613</v>
      </c>
      <c r="M81" s="422" t="s">
        <v>614</v>
      </c>
      <c r="N81" s="422"/>
      <c r="O81" s="422"/>
      <c r="P81" s="445">
        <v>0</v>
      </c>
      <c r="Q81" s="422"/>
    </row>
    <row r="82" spans="1:17" x14ac:dyDescent="0.25">
      <c r="A82" s="713"/>
      <c r="B82" s="421" t="s">
        <v>487</v>
      </c>
      <c r="C82" s="422">
        <v>2</v>
      </c>
      <c r="D82" s="509" t="s">
        <v>490</v>
      </c>
      <c r="E82" s="422"/>
      <c r="F82" s="422"/>
      <c r="G82" s="422"/>
      <c r="H82" s="422"/>
      <c r="I82" s="422"/>
      <c r="J82" s="422" t="s">
        <v>644</v>
      </c>
      <c r="K82" s="422" t="s">
        <v>645</v>
      </c>
      <c r="L82" s="422" t="s">
        <v>646</v>
      </c>
      <c r="M82" s="422" t="s">
        <v>614</v>
      </c>
      <c r="N82" s="422"/>
      <c r="O82" s="422"/>
      <c r="P82" s="445">
        <v>0</v>
      </c>
      <c r="Q82" s="422"/>
    </row>
    <row r="83" spans="1:17" x14ac:dyDescent="0.25">
      <c r="A83" s="713"/>
      <c r="B83" s="421" t="s">
        <v>521</v>
      </c>
      <c r="C83" s="422">
        <v>2</v>
      </c>
      <c r="D83" s="510" t="s">
        <v>519</v>
      </c>
      <c r="E83" s="422"/>
      <c r="F83" s="422"/>
      <c r="G83" s="422"/>
      <c r="H83" s="422"/>
      <c r="I83" s="422"/>
      <c r="J83" s="422" t="s">
        <v>644</v>
      </c>
      <c r="K83" s="422" t="s">
        <v>645</v>
      </c>
      <c r="L83" s="422"/>
      <c r="M83" s="422" t="s">
        <v>619</v>
      </c>
      <c r="N83" s="422"/>
      <c r="O83" s="422" t="s">
        <v>637</v>
      </c>
      <c r="P83" s="445">
        <v>0</v>
      </c>
      <c r="Q83" s="422"/>
    </row>
    <row r="84" spans="1:17" x14ac:dyDescent="0.25">
      <c r="A84" s="713"/>
      <c r="B84" s="421" t="s">
        <v>521</v>
      </c>
      <c r="C84" s="422">
        <v>2</v>
      </c>
      <c r="D84" s="510" t="s">
        <v>539</v>
      </c>
      <c r="E84" s="422"/>
      <c r="F84" s="422"/>
      <c r="G84" s="422"/>
      <c r="H84" s="422"/>
      <c r="I84" s="422"/>
      <c r="J84" s="422" t="s">
        <v>644</v>
      </c>
      <c r="K84" s="422" t="s">
        <v>645</v>
      </c>
      <c r="L84" s="422"/>
      <c r="M84" s="422" t="s">
        <v>619</v>
      </c>
      <c r="N84" s="422"/>
      <c r="O84" s="422" t="s">
        <v>637</v>
      </c>
      <c r="P84" s="445">
        <v>5</v>
      </c>
      <c r="Q84" s="422"/>
    </row>
    <row r="85" spans="1:17" ht="14.45" customHeight="1" x14ac:dyDescent="0.25">
      <c r="A85" s="712" t="s">
        <v>192</v>
      </c>
      <c r="B85" s="508" t="s">
        <v>516</v>
      </c>
      <c r="C85" s="422">
        <v>3</v>
      </c>
      <c r="D85" s="509" t="s">
        <v>542</v>
      </c>
      <c r="E85" s="422"/>
      <c r="F85" s="422"/>
      <c r="G85" s="422"/>
      <c r="H85" s="422"/>
      <c r="I85" s="422"/>
      <c r="J85" s="422" t="s">
        <v>611</v>
      </c>
      <c r="K85" s="422" t="s">
        <v>647</v>
      </c>
      <c r="L85" s="494" t="s">
        <v>613</v>
      </c>
      <c r="M85" s="422" t="s">
        <v>614</v>
      </c>
      <c r="N85" s="422"/>
      <c r="O85" s="422"/>
      <c r="P85" s="445">
        <v>10</v>
      </c>
      <c r="Q85" s="422"/>
    </row>
    <row r="86" spans="1:17" x14ac:dyDescent="0.25">
      <c r="A86" s="712"/>
      <c r="B86" s="508" t="s">
        <v>487</v>
      </c>
      <c r="C86" s="422">
        <v>2</v>
      </c>
      <c r="D86" s="509" t="s">
        <v>490</v>
      </c>
      <c r="E86" s="422"/>
      <c r="F86" s="422"/>
      <c r="G86" s="422"/>
      <c r="H86" s="422"/>
      <c r="I86" s="422"/>
      <c r="J86" s="422" t="s">
        <v>611</v>
      </c>
      <c r="K86" s="422" t="s">
        <v>647</v>
      </c>
      <c r="L86" s="494" t="s">
        <v>613</v>
      </c>
      <c r="M86" s="422" t="s">
        <v>614</v>
      </c>
      <c r="N86" s="422"/>
      <c r="O86" s="422"/>
      <c r="P86" s="445">
        <v>15</v>
      </c>
      <c r="Q86" s="422"/>
    </row>
    <row r="87" spans="1:17" x14ac:dyDescent="0.25">
      <c r="A87" s="712"/>
      <c r="B87" s="508" t="s">
        <v>518</v>
      </c>
      <c r="C87" s="422">
        <v>3</v>
      </c>
      <c r="D87" s="509" t="s">
        <v>515</v>
      </c>
      <c r="E87" s="422"/>
      <c r="F87" s="422"/>
      <c r="G87" s="422"/>
      <c r="H87" s="422"/>
      <c r="I87" s="422"/>
      <c r="J87" s="422" t="s">
        <v>611</v>
      </c>
      <c r="K87" s="422" t="s">
        <v>647</v>
      </c>
      <c r="L87" s="494" t="s">
        <v>613</v>
      </c>
      <c r="M87" s="422" t="s">
        <v>611</v>
      </c>
      <c r="N87" s="422"/>
      <c r="O87" s="422" t="s">
        <v>648</v>
      </c>
      <c r="P87" s="445">
        <v>5</v>
      </c>
      <c r="Q87" s="422"/>
    </row>
    <row r="88" spans="1:17" x14ac:dyDescent="0.25">
      <c r="A88" s="712"/>
      <c r="B88" s="422" t="s">
        <v>512</v>
      </c>
      <c r="C88" s="422">
        <v>2</v>
      </c>
      <c r="D88" s="509" t="s">
        <v>529</v>
      </c>
      <c r="E88" s="422"/>
      <c r="F88" s="422"/>
      <c r="G88" s="422"/>
      <c r="H88" s="422"/>
      <c r="I88" s="422"/>
      <c r="J88" s="422" t="s">
        <v>611</v>
      </c>
      <c r="K88" s="422" t="s">
        <v>647</v>
      </c>
      <c r="L88" s="494" t="s">
        <v>613</v>
      </c>
      <c r="M88" s="422" t="s">
        <v>611</v>
      </c>
      <c r="N88" s="422"/>
      <c r="O88" s="422" t="s">
        <v>648</v>
      </c>
      <c r="P88" s="445">
        <v>5</v>
      </c>
      <c r="Q88" s="422"/>
    </row>
    <row r="89" spans="1:17" x14ac:dyDescent="0.25">
      <c r="A89" s="712"/>
      <c r="B89" s="422" t="s">
        <v>642</v>
      </c>
      <c r="C89" s="422">
        <v>2</v>
      </c>
      <c r="D89" s="509" t="s">
        <v>531</v>
      </c>
      <c r="E89" s="422"/>
      <c r="F89" s="422"/>
      <c r="G89" s="422"/>
      <c r="H89" s="422"/>
      <c r="I89" s="422"/>
      <c r="J89" s="422" t="s">
        <v>611</v>
      </c>
      <c r="K89" s="422" t="s">
        <v>647</v>
      </c>
      <c r="L89" s="494" t="s">
        <v>613</v>
      </c>
      <c r="M89" s="422" t="s">
        <v>611</v>
      </c>
      <c r="N89" s="422"/>
      <c r="O89" s="422" t="s">
        <v>648</v>
      </c>
      <c r="P89" s="445">
        <v>5</v>
      </c>
      <c r="Q89" s="422"/>
    </row>
    <row r="90" spans="1:17" x14ac:dyDescent="0.25">
      <c r="A90" s="712"/>
      <c r="B90" s="422" t="s">
        <v>523</v>
      </c>
      <c r="C90" s="422">
        <v>2</v>
      </c>
      <c r="D90" s="509" t="s">
        <v>532</v>
      </c>
      <c r="E90" s="422"/>
      <c r="F90" s="422"/>
      <c r="G90" s="422"/>
      <c r="H90" s="422"/>
      <c r="I90" s="422"/>
      <c r="J90" s="422" t="s">
        <v>611</v>
      </c>
      <c r="K90" s="422" t="s">
        <v>647</v>
      </c>
      <c r="L90" s="494" t="s">
        <v>613</v>
      </c>
      <c r="M90" s="422" t="s">
        <v>611</v>
      </c>
      <c r="N90" s="422"/>
      <c r="O90" s="422" t="s">
        <v>648</v>
      </c>
      <c r="P90" s="445">
        <v>5</v>
      </c>
      <c r="Q90" s="422"/>
    </row>
    <row r="91" spans="1:17" ht="14.45" customHeight="1" x14ac:dyDescent="0.25">
      <c r="A91" s="715" t="s">
        <v>188</v>
      </c>
      <c r="B91" s="513" t="s">
        <v>512</v>
      </c>
      <c r="C91" s="422">
        <v>3</v>
      </c>
      <c r="D91" s="509" t="s">
        <v>542</v>
      </c>
      <c r="E91" s="422"/>
      <c r="F91" s="422"/>
      <c r="G91" s="422"/>
      <c r="H91" s="422"/>
      <c r="I91" s="422"/>
      <c r="J91" s="422" t="s">
        <v>611</v>
      </c>
      <c r="K91" s="422" t="s">
        <v>634</v>
      </c>
      <c r="L91" s="494" t="s">
        <v>613</v>
      </c>
      <c r="M91" s="422" t="s">
        <v>614</v>
      </c>
      <c r="N91" s="422"/>
      <c r="O91" s="422" t="s">
        <v>639</v>
      </c>
      <c r="P91" s="445">
        <v>10</v>
      </c>
      <c r="Q91" s="422"/>
    </row>
    <row r="92" spans="1:17" x14ac:dyDescent="0.25">
      <c r="A92" s="715"/>
      <c r="B92" s="513" t="s">
        <v>516</v>
      </c>
      <c r="C92" s="422">
        <v>3</v>
      </c>
      <c r="D92" s="509" t="s">
        <v>490</v>
      </c>
      <c r="E92" s="422"/>
      <c r="F92" s="422"/>
      <c r="G92" s="422"/>
      <c r="H92" s="422"/>
      <c r="I92" s="422"/>
      <c r="J92" s="422" t="s">
        <v>611</v>
      </c>
      <c r="K92" s="422" t="s">
        <v>634</v>
      </c>
      <c r="L92" s="494" t="s">
        <v>613</v>
      </c>
      <c r="M92" s="422" t="s">
        <v>614</v>
      </c>
      <c r="N92" s="422"/>
      <c r="O92" s="422" t="s">
        <v>639</v>
      </c>
      <c r="P92" s="445">
        <v>10</v>
      </c>
      <c r="Q92" s="422"/>
    </row>
    <row r="93" spans="1:17" x14ac:dyDescent="0.25">
      <c r="A93" s="715"/>
      <c r="B93" s="513" t="s">
        <v>487</v>
      </c>
      <c r="C93" s="422">
        <v>3</v>
      </c>
      <c r="D93" s="509" t="s">
        <v>517</v>
      </c>
      <c r="E93" s="422"/>
      <c r="F93" s="422"/>
      <c r="G93" s="422"/>
      <c r="H93" s="422"/>
      <c r="I93" s="422"/>
      <c r="J93" s="422" t="s">
        <v>611</v>
      </c>
      <c r="K93" s="422" t="s">
        <v>634</v>
      </c>
      <c r="L93" s="494" t="s">
        <v>613</v>
      </c>
      <c r="M93" s="422" t="s">
        <v>614</v>
      </c>
      <c r="N93" s="422"/>
      <c r="O93" s="422" t="s">
        <v>639</v>
      </c>
      <c r="P93" s="445">
        <v>10</v>
      </c>
      <c r="Q93" s="422"/>
    </row>
    <row r="94" spans="1:17" x14ac:dyDescent="0.25">
      <c r="A94" s="715"/>
      <c r="B94" s="513" t="s">
        <v>521</v>
      </c>
      <c r="C94" s="422">
        <v>3</v>
      </c>
      <c r="D94" s="509" t="s">
        <v>520</v>
      </c>
      <c r="E94" s="422"/>
      <c r="F94" s="422"/>
      <c r="G94" s="422"/>
      <c r="H94" s="422"/>
      <c r="I94" s="422"/>
      <c r="J94" s="422" t="s">
        <v>611</v>
      </c>
      <c r="K94" s="422" t="s">
        <v>634</v>
      </c>
      <c r="L94" s="494" t="s">
        <v>613</v>
      </c>
      <c r="M94" s="422" t="s">
        <v>614</v>
      </c>
      <c r="N94" s="422"/>
      <c r="O94" s="422" t="s">
        <v>639</v>
      </c>
      <c r="P94" s="445">
        <v>10</v>
      </c>
      <c r="Q94" s="422"/>
    </row>
    <row r="95" spans="1:17" x14ac:dyDescent="0.25">
      <c r="A95" s="715"/>
      <c r="B95" s="513" t="s">
        <v>491</v>
      </c>
      <c r="C95" s="422">
        <v>3</v>
      </c>
      <c r="D95" s="509" t="s">
        <v>522</v>
      </c>
      <c r="E95" s="422"/>
      <c r="F95" s="422"/>
      <c r="G95" s="422"/>
      <c r="H95" s="422"/>
      <c r="I95" s="422"/>
      <c r="J95" s="422" t="s">
        <v>611</v>
      </c>
      <c r="K95" s="422" t="s">
        <v>634</v>
      </c>
      <c r="L95" s="494" t="s">
        <v>613</v>
      </c>
      <c r="M95" s="422" t="s">
        <v>614</v>
      </c>
      <c r="N95" s="422"/>
      <c r="O95" s="422" t="s">
        <v>639</v>
      </c>
      <c r="P95" s="445">
        <v>5</v>
      </c>
      <c r="Q95" s="422"/>
    </row>
    <row r="96" spans="1:17" x14ac:dyDescent="0.25">
      <c r="A96" s="715"/>
      <c r="B96" s="513" t="s">
        <v>489</v>
      </c>
      <c r="C96" s="422">
        <v>3</v>
      </c>
      <c r="D96" s="509" t="s">
        <v>526</v>
      </c>
      <c r="E96" s="422"/>
      <c r="F96" s="422"/>
      <c r="G96" s="422"/>
      <c r="H96" s="422"/>
      <c r="I96" s="422"/>
      <c r="J96" s="422" t="s">
        <v>611</v>
      </c>
      <c r="K96" s="422" t="s">
        <v>634</v>
      </c>
      <c r="L96" s="494" t="s">
        <v>613</v>
      </c>
      <c r="M96" s="422" t="s">
        <v>614</v>
      </c>
      <c r="N96" s="422"/>
      <c r="O96" s="422" t="s">
        <v>639</v>
      </c>
      <c r="P96" s="445">
        <v>15</v>
      </c>
      <c r="Q96" s="422"/>
    </row>
    <row r="97" spans="1:17" x14ac:dyDescent="0.25">
      <c r="A97" s="715"/>
      <c r="B97" s="513" t="s">
        <v>523</v>
      </c>
      <c r="C97" s="422">
        <v>3</v>
      </c>
      <c r="D97" s="509" t="s">
        <v>488</v>
      </c>
      <c r="E97" s="422"/>
      <c r="F97" s="422"/>
      <c r="G97" s="422"/>
      <c r="H97" s="422"/>
      <c r="I97" s="422"/>
      <c r="J97" s="422" t="s">
        <v>611</v>
      </c>
      <c r="K97" s="422" t="s">
        <v>634</v>
      </c>
      <c r="L97" s="494" t="s">
        <v>613</v>
      </c>
      <c r="M97" s="422" t="s">
        <v>614</v>
      </c>
      <c r="N97" s="422"/>
      <c r="O97" s="422" t="s">
        <v>639</v>
      </c>
      <c r="P97" s="445">
        <v>0</v>
      </c>
      <c r="Q97" s="422"/>
    </row>
    <row r="98" spans="1:17" x14ac:dyDescent="0.25">
      <c r="A98" s="715"/>
      <c r="B98" s="513" t="s">
        <v>525</v>
      </c>
      <c r="C98" s="422">
        <v>3</v>
      </c>
      <c r="D98" s="509" t="s">
        <v>635</v>
      </c>
      <c r="E98" s="422"/>
      <c r="F98" s="422"/>
      <c r="G98" s="422"/>
      <c r="H98" s="422"/>
      <c r="I98" s="422"/>
      <c r="J98" s="422" t="s">
        <v>611</v>
      </c>
      <c r="K98" s="422" t="s">
        <v>634</v>
      </c>
      <c r="L98" s="494" t="s">
        <v>613</v>
      </c>
      <c r="M98" s="422" t="s">
        <v>614</v>
      </c>
      <c r="N98" s="422"/>
      <c r="O98" s="422" t="s">
        <v>639</v>
      </c>
      <c r="P98" s="445">
        <v>0</v>
      </c>
      <c r="Q98" s="422"/>
    </row>
    <row r="99" spans="1:17" x14ac:dyDescent="0.25">
      <c r="A99" s="715"/>
      <c r="B99" s="513" t="s">
        <v>527</v>
      </c>
      <c r="C99" s="422">
        <v>3</v>
      </c>
      <c r="D99" s="509" t="s">
        <v>530</v>
      </c>
      <c r="E99" s="422"/>
      <c r="F99" s="422"/>
      <c r="G99" s="422"/>
      <c r="H99" s="422"/>
      <c r="I99" s="422"/>
      <c r="J99" s="422" t="s">
        <v>611</v>
      </c>
      <c r="K99" s="422" t="s">
        <v>634</v>
      </c>
      <c r="L99" s="494" t="s">
        <v>613</v>
      </c>
      <c r="M99" s="422" t="s">
        <v>614</v>
      </c>
      <c r="N99" s="422"/>
      <c r="O99" s="422" t="s">
        <v>639</v>
      </c>
      <c r="P99" s="445">
        <v>0</v>
      </c>
      <c r="Q99" s="422"/>
    </row>
    <row r="100" spans="1:17" x14ac:dyDescent="0.25">
      <c r="A100" s="715"/>
      <c r="B100" s="514" t="s">
        <v>642</v>
      </c>
      <c r="C100" s="422">
        <v>2</v>
      </c>
      <c r="D100" s="509" t="s">
        <v>531</v>
      </c>
      <c r="E100" s="422"/>
      <c r="F100" s="422"/>
      <c r="G100" s="422"/>
      <c r="H100" s="422"/>
      <c r="I100" s="422"/>
      <c r="J100" s="422" t="s">
        <v>611</v>
      </c>
      <c r="K100" s="422" t="s">
        <v>634</v>
      </c>
      <c r="L100" s="494" t="s">
        <v>613</v>
      </c>
      <c r="M100" s="422" t="s">
        <v>614</v>
      </c>
      <c r="N100" s="422"/>
      <c r="O100" s="422" t="s">
        <v>639</v>
      </c>
      <c r="P100" s="445">
        <v>0</v>
      </c>
      <c r="Q100" s="422"/>
    </row>
    <row r="101" spans="1:17" x14ac:dyDescent="0.25">
      <c r="A101" s="715"/>
      <c r="B101" s="514" t="s">
        <v>636</v>
      </c>
      <c r="C101" s="422">
        <v>2</v>
      </c>
      <c r="D101" s="509" t="s">
        <v>533</v>
      </c>
      <c r="E101" s="422"/>
      <c r="F101" s="422"/>
      <c r="G101" s="422"/>
      <c r="H101" s="422"/>
      <c r="I101" s="422"/>
      <c r="J101" s="422" t="s">
        <v>611</v>
      </c>
      <c r="K101" s="422" t="s">
        <v>634</v>
      </c>
      <c r="L101" s="494" t="s">
        <v>613</v>
      </c>
      <c r="M101" s="422" t="s">
        <v>614</v>
      </c>
      <c r="N101" s="422"/>
      <c r="O101" s="422" t="s">
        <v>639</v>
      </c>
      <c r="P101" s="445">
        <v>0</v>
      </c>
      <c r="Q101" s="422"/>
    </row>
    <row r="102" spans="1:17" x14ac:dyDescent="0.25">
      <c r="A102" s="715"/>
      <c r="B102" s="514" t="s">
        <v>521</v>
      </c>
      <c r="C102" s="422">
        <v>2</v>
      </c>
      <c r="D102" s="509" t="s">
        <v>519</v>
      </c>
      <c r="E102" s="422"/>
      <c r="F102" s="422"/>
      <c r="G102" s="422"/>
      <c r="H102" s="422"/>
      <c r="I102" s="422"/>
      <c r="J102" s="422" t="s">
        <v>611</v>
      </c>
      <c r="K102" s="422" t="s">
        <v>634</v>
      </c>
      <c r="L102" s="422"/>
      <c r="M102" s="422" t="s">
        <v>611</v>
      </c>
      <c r="N102" s="422"/>
      <c r="O102" s="422" t="s">
        <v>639</v>
      </c>
      <c r="P102" s="445">
        <v>0</v>
      </c>
      <c r="Q102" s="422"/>
    </row>
    <row r="103" spans="1:17" ht="14.45" customHeight="1" x14ac:dyDescent="0.25">
      <c r="A103" s="715"/>
      <c r="B103" s="514" t="s">
        <v>512</v>
      </c>
      <c r="C103" s="422">
        <v>2</v>
      </c>
      <c r="D103" s="509" t="s">
        <v>641</v>
      </c>
      <c r="E103" s="422"/>
      <c r="F103" s="422"/>
      <c r="G103" s="422"/>
      <c r="H103" s="422"/>
      <c r="I103" s="422"/>
      <c r="J103" s="422" t="s">
        <v>611</v>
      </c>
      <c r="K103" s="422" t="s">
        <v>634</v>
      </c>
      <c r="L103" s="422"/>
      <c r="M103" s="422" t="s">
        <v>611</v>
      </c>
      <c r="N103" s="422"/>
      <c r="O103" s="422" t="s">
        <v>639</v>
      </c>
      <c r="P103" s="445">
        <v>0</v>
      </c>
      <c r="Q103" s="422"/>
    </row>
    <row r="104" spans="1:17" x14ac:dyDescent="0.25">
      <c r="A104" s="715"/>
      <c r="B104" s="514" t="s">
        <v>521</v>
      </c>
      <c r="C104" s="422">
        <v>2</v>
      </c>
      <c r="D104" s="509" t="s">
        <v>539</v>
      </c>
      <c r="E104" s="422"/>
      <c r="F104" s="422"/>
      <c r="G104" s="422"/>
      <c r="H104" s="422"/>
      <c r="I104" s="422"/>
      <c r="J104" s="422" t="s">
        <v>611</v>
      </c>
      <c r="K104" s="422" t="s">
        <v>634</v>
      </c>
      <c r="L104" s="422"/>
      <c r="M104" s="422" t="s">
        <v>611</v>
      </c>
      <c r="N104" s="422"/>
      <c r="O104" s="422" t="s">
        <v>639</v>
      </c>
      <c r="P104" s="445">
        <v>0</v>
      </c>
      <c r="Q104" s="422"/>
    </row>
    <row r="105" spans="1:17" x14ac:dyDescent="0.25">
      <c r="A105" s="714" t="s">
        <v>649</v>
      </c>
      <c r="B105" s="517" t="s">
        <v>516</v>
      </c>
      <c r="C105" s="518">
        <v>3</v>
      </c>
      <c r="D105" s="519" t="s">
        <v>650</v>
      </c>
      <c r="E105" s="518"/>
      <c r="F105" s="518"/>
      <c r="G105" s="518"/>
      <c r="H105" s="518"/>
      <c r="I105" s="518"/>
      <c r="J105" s="518" t="s">
        <v>611</v>
      </c>
      <c r="K105" s="518" t="s">
        <v>634</v>
      </c>
      <c r="L105" s="520">
        <v>56200</v>
      </c>
      <c r="M105" s="518" t="s">
        <v>614</v>
      </c>
      <c r="N105" s="518"/>
      <c r="O105" s="518" t="s">
        <v>639</v>
      </c>
      <c r="P105" s="521">
        <v>100</v>
      </c>
      <c r="Q105" s="518" t="s">
        <v>651</v>
      </c>
    </row>
    <row r="106" spans="1:17" x14ac:dyDescent="0.25">
      <c r="A106" s="714"/>
      <c r="B106" s="522" t="s">
        <v>652</v>
      </c>
      <c r="C106" s="518">
        <v>3</v>
      </c>
      <c r="D106" s="519" t="s">
        <v>653</v>
      </c>
      <c r="E106" s="518"/>
      <c r="F106" s="518"/>
      <c r="G106" s="518"/>
      <c r="H106" s="518"/>
      <c r="I106" s="518"/>
      <c r="J106" s="518" t="s">
        <v>611</v>
      </c>
      <c r="K106" s="518" t="s">
        <v>647</v>
      </c>
      <c r="L106" s="518">
        <v>51380</v>
      </c>
      <c r="M106" s="518" t="s">
        <v>614</v>
      </c>
      <c r="N106" s="518"/>
      <c r="O106" s="518" t="s">
        <v>639</v>
      </c>
      <c r="P106" s="521">
        <v>100</v>
      </c>
      <c r="Q106" s="518" t="s">
        <v>651</v>
      </c>
    </row>
    <row r="107" spans="1:17" x14ac:dyDescent="0.25">
      <c r="A107" s="714"/>
      <c r="B107" s="522" t="s">
        <v>487</v>
      </c>
      <c r="C107" s="523"/>
      <c r="D107" s="524" t="s">
        <v>654</v>
      </c>
      <c r="E107" s="525"/>
      <c r="F107" s="525"/>
      <c r="G107" s="525" t="s">
        <v>302</v>
      </c>
      <c r="H107" s="525"/>
      <c r="I107" s="525"/>
      <c r="J107" s="518" t="s">
        <v>611</v>
      </c>
      <c r="K107" s="518" t="s">
        <v>640</v>
      </c>
      <c r="L107" s="518"/>
      <c r="M107" s="518" t="s">
        <v>611</v>
      </c>
      <c r="N107" s="525">
        <v>56200</v>
      </c>
      <c r="O107" s="518" t="s">
        <v>655</v>
      </c>
      <c r="P107" s="521">
        <v>100</v>
      </c>
      <c r="Q107" s="518" t="s">
        <v>625</v>
      </c>
    </row>
    <row r="108" spans="1:17" x14ac:dyDescent="0.25">
      <c r="A108" s="714"/>
      <c r="B108" s="522" t="s">
        <v>652</v>
      </c>
      <c r="C108" s="523">
        <v>3</v>
      </c>
      <c r="D108" s="524" t="s">
        <v>656</v>
      </c>
      <c r="E108" s="525"/>
      <c r="F108" s="525"/>
      <c r="G108" s="525"/>
      <c r="H108" s="525"/>
      <c r="I108" s="525"/>
      <c r="J108" s="518" t="s">
        <v>611</v>
      </c>
      <c r="K108" s="518" t="s">
        <v>647</v>
      </c>
      <c r="L108" s="518">
        <v>51380</v>
      </c>
      <c r="M108" s="518" t="s">
        <v>614</v>
      </c>
      <c r="N108" s="525"/>
      <c r="O108" s="518" t="s">
        <v>639</v>
      </c>
      <c r="P108" s="521">
        <v>100</v>
      </c>
      <c r="Q108" s="518" t="s">
        <v>651</v>
      </c>
    </row>
    <row r="109" spans="1:17" x14ac:dyDescent="0.25">
      <c r="A109" s="714"/>
      <c r="B109" s="517" t="s">
        <v>657</v>
      </c>
      <c r="C109" s="526">
        <v>2</v>
      </c>
      <c r="D109" s="527" t="s">
        <v>658</v>
      </c>
      <c r="E109" s="528"/>
      <c r="F109" s="528"/>
      <c r="G109" s="528"/>
      <c r="H109" s="528" t="s">
        <v>302</v>
      </c>
      <c r="I109" s="528"/>
      <c r="J109" s="518" t="s">
        <v>611</v>
      </c>
      <c r="K109" s="518" t="s">
        <v>640</v>
      </c>
      <c r="L109" s="518">
        <v>44950</v>
      </c>
      <c r="M109" s="518" t="s">
        <v>614</v>
      </c>
      <c r="N109" s="528"/>
      <c r="O109" s="518" t="s">
        <v>639</v>
      </c>
      <c r="P109" s="521">
        <v>100</v>
      </c>
      <c r="Q109" s="518" t="s">
        <v>651</v>
      </c>
    </row>
    <row r="110" spans="1:17" x14ac:dyDescent="0.25">
      <c r="A110" s="714"/>
      <c r="B110" s="517" t="s">
        <v>657</v>
      </c>
      <c r="C110" s="529">
        <v>2</v>
      </c>
      <c r="D110" s="527" t="s">
        <v>658</v>
      </c>
      <c r="E110" s="530"/>
      <c r="F110" s="530"/>
      <c r="G110" s="530"/>
      <c r="H110" s="530" t="s">
        <v>302</v>
      </c>
      <c r="I110" s="530"/>
      <c r="J110" s="518" t="s">
        <v>611</v>
      </c>
      <c r="K110" s="518" t="s">
        <v>640</v>
      </c>
      <c r="L110" s="518">
        <v>44950</v>
      </c>
      <c r="M110" s="518" t="s">
        <v>614</v>
      </c>
      <c r="N110" s="530"/>
      <c r="O110" s="518" t="s">
        <v>639</v>
      </c>
      <c r="P110" s="521">
        <v>100</v>
      </c>
      <c r="Q110" s="518" t="s">
        <v>651</v>
      </c>
    </row>
    <row r="111" spans="1:17" x14ac:dyDescent="0.25">
      <c r="A111" s="714"/>
      <c r="B111" s="517" t="s">
        <v>657</v>
      </c>
      <c r="C111" s="529">
        <v>2</v>
      </c>
      <c r="D111" s="527" t="s">
        <v>658</v>
      </c>
      <c r="E111" s="530"/>
      <c r="F111" s="530"/>
      <c r="G111" s="530"/>
      <c r="H111" s="530" t="s">
        <v>302</v>
      </c>
      <c r="I111" s="530"/>
      <c r="J111" s="518" t="s">
        <v>611</v>
      </c>
      <c r="K111" s="518" t="s">
        <v>640</v>
      </c>
      <c r="L111" s="518">
        <v>44950</v>
      </c>
      <c r="M111" s="518" t="s">
        <v>614</v>
      </c>
      <c r="N111" s="530"/>
      <c r="O111" s="518" t="s">
        <v>639</v>
      </c>
      <c r="P111" s="521">
        <v>100</v>
      </c>
      <c r="Q111" s="518" t="s">
        <v>651</v>
      </c>
    </row>
    <row r="112" spans="1:17" x14ac:dyDescent="0.25">
      <c r="A112" s="714"/>
      <c r="B112" s="517" t="s">
        <v>652</v>
      </c>
      <c r="C112" s="529">
        <v>3</v>
      </c>
      <c r="D112" s="517" t="s">
        <v>659</v>
      </c>
      <c r="E112" s="530"/>
      <c r="F112" s="530"/>
      <c r="G112" s="530"/>
      <c r="H112" s="530"/>
      <c r="I112" s="530"/>
      <c r="J112" s="518" t="s">
        <v>611</v>
      </c>
      <c r="K112" s="518" t="s">
        <v>647</v>
      </c>
      <c r="L112" s="518">
        <v>51380</v>
      </c>
      <c r="M112" s="518" t="s">
        <v>614</v>
      </c>
      <c r="N112" s="530"/>
      <c r="O112" s="518" t="s">
        <v>639</v>
      </c>
      <c r="P112" s="521">
        <v>100</v>
      </c>
      <c r="Q112" s="518" t="s">
        <v>651</v>
      </c>
    </row>
    <row r="113" spans="1:17" x14ac:dyDescent="0.25">
      <c r="A113" s="714"/>
      <c r="B113" s="517" t="s">
        <v>660</v>
      </c>
      <c r="C113" s="529">
        <v>3</v>
      </c>
      <c r="D113" s="517" t="s">
        <v>661</v>
      </c>
      <c r="E113" s="530"/>
      <c r="F113" s="530"/>
      <c r="G113" s="530"/>
      <c r="H113" s="530" t="s">
        <v>302</v>
      </c>
      <c r="I113" s="530"/>
      <c r="J113" s="518" t="s">
        <v>611</v>
      </c>
      <c r="K113" s="518" t="s">
        <v>640</v>
      </c>
      <c r="L113" s="518">
        <v>51380</v>
      </c>
      <c r="M113" s="518" t="s">
        <v>614</v>
      </c>
      <c r="N113" s="530"/>
      <c r="O113" s="518" t="s">
        <v>639</v>
      </c>
      <c r="P113" s="521">
        <v>100</v>
      </c>
      <c r="Q113" s="518" t="s">
        <v>651</v>
      </c>
    </row>
    <row r="114" spans="1:17" x14ac:dyDescent="0.25">
      <c r="A114" s="714"/>
      <c r="B114" s="517" t="s">
        <v>487</v>
      </c>
      <c r="C114" s="529"/>
      <c r="D114" s="524" t="s">
        <v>654</v>
      </c>
      <c r="E114" s="530"/>
      <c r="F114" s="530"/>
      <c r="G114" s="530"/>
      <c r="H114" s="530" t="s">
        <v>302</v>
      </c>
      <c r="I114" s="530"/>
      <c r="J114" s="518" t="s">
        <v>611</v>
      </c>
      <c r="K114" s="518" t="s">
        <v>640</v>
      </c>
      <c r="L114" s="518"/>
      <c r="M114" s="518" t="s">
        <v>611</v>
      </c>
      <c r="N114" s="531">
        <v>56200</v>
      </c>
      <c r="O114" s="517" t="s">
        <v>662</v>
      </c>
      <c r="P114" s="521">
        <v>100</v>
      </c>
      <c r="Q114" s="518" t="s">
        <v>625</v>
      </c>
    </row>
    <row r="115" spans="1:17" ht="30" x14ac:dyDescent="0.25">
      <c r="A115" s="426" t="s">
        <v>663</v>
      </c>
      <c r="B115" s="498" t="s">
        <v>487</v>
      </c>
      <c r="C115" s="422">
        <v>2</v>
      </c>
      <c r="D115" s="420" t="s">
        <v>618</v>
      </c>
      <c r="E115" s="422"/>
      <c r="F115" s="422" t="s">
        <v>302</v>
      </c>
      <c r="G115" s="422"/>
      <c r="H115" s="422"/>
      <c r="I115" s="422"/>
      <c r="J115" s="422" t="s">
        <v>619</v>
      </c>
      <c r="K115" s="422" t="s">
        <v>664</v>
      </c>
      <c r="L115" s="423">
        <v>40000</v>
      </c>
      <c r="M115" s="422" t="s">
        <v>665</v>
      </c>
      <c r="N115" s="422"/>
      <c r="O115" s="422" t="s">
        <v>620</v>
      </c>
      <c r="P115" s="445">
        <v>100</v>
      </c>
      <c r="Q115" s="422"/>
    </row>
    <row r="116" spans="1:17" ht="30" x14ac:dyDescent="0.25">
      <c r="A116" s="426" t="s">
        <v>663</v>
      </c>
      <c r="B116" s="703" t="s">
        <v>666</v>
      </c>
      <c r="C116" s="704"/>
      <c r="D116" s="704"/>
      <c r="E116" s="704"/>
      <c r="F116" s="704"/>
      <c r="G116" s="704"/>
      <c r="H116" s="704"/>
      <c r="I116" s="704"/>
      <c r="J116" s="704"/>
      <c r="K116" s="704"/>
      <c r="L116" s="704"/>
      <c r="M116" s="704"/>
      <c r="N116" s="704"/>
      <c r="O116" s="704"/>
      <c r="P116" s="704"/>
      <c r="Q116" s="422"/>
    </row>
    <row r="117" spans="1:17" ht="30" x14ac:dyDescent="0.25">
      <c r="A117" s="427" t="s">
        <v>667</v>
      </c>
      <c r="B117" s="421" t="s">
        <v>487</v>
      </c>
      <c r="C117" s="422">
        <v>2</v>
      </c>
      <c r="D117" s="420" t="s">
        <v>618</v>
      </c>
      <c r="E117" s="422"/>
      <c r="F117" s="422" t="s">
        <v>302</v>
      </c>
      <c r="G117" s="422"/>
      <c r="H117" s="422"/>
      <c r="I117" s="422"/>
      <c r="J117" s="422" t="s">
        <v>619</v>
      </c>
      <c r="K117" s="422" t="s">
        <v>664</v>
      </c>
      <c r="L117" s="423">
        <v>40000</v>
      </c>
      <c r="M117" s="422" t="s">
        <v>665</v>
      </c>
      <c r="N117" s="422"/>
      <c r="O117" s="422" t="s">
        <v>620</v>
      </c>
      <c r="P117" s="445">
        <v>100</v>
      </c>
      <c r="Q117" s="422"/>
    </row>
    <row r="118" spans="1:17" ht="30" x14ac:dyDescent="0.25">
      <c r="A118" s="427" t="s">
        <v>667</v>
      </c>
      <c r="B118" s="705" t="s">
        <v>666</v>
      </c>
      <c r="C118" s="706"/>
      <c r="D118" s="706"/>
      <c r="E118" s="706"/>
      <c r="F118" s="706"/>
      <c r="G118" s="706"/>
      <c r="H118" s="706"/>
      <c r="I118" s="706"/>
      <c r="J118" s="706"/>
      <c r="K118" s="706"/>
      <c r="L118" s="706"/>
      <c r="M118" s="706"/>
      <c r="N118" s="706"/>
      <c r="O118" s="706"/>
      <c r="P118" s="706"/>
      <c r="Q118" s="422"/>
    </row>
    <row r="119" spans="1:17" ht="30" x14ac:dyDescent="0.25">
      <c r="A119" s="420" t="s">
        <v>668</v>
      </c>
      <c r="B119" s="421" t="s">
        <v>487</v>
      </c>
      <c r="C119" s="422">
        <v>2</v>
      </c>
      <c r="D119" s="420" t="s">
        <v>618</v>
      </c>
      <c r="E119" s="422"/>
      <c r="F119" s="422" t="s">
        <v>302</v>
      </c>
      <c r="G119" s="422"/>
      <c r="H119" s="422"/>
      <c r="I119" s="422"/>
      <c r="J119" s="422" t="s">
        <v>619</v>
      </c>
      <c r="K119" s="422" t="s">
        <v>664</v>
      </c>
      <c r="L119" s="423">
        <v>40000</v>
      </c>
      <c r="M119" s="422" t="s">
        <v>665</v>
      </c>
      <c r="N119" s="422"/>
      <c r="O119" s="422" t="s">
        <v>620</v>
      </c>
      <c r="P119" s="445">
        <v>100</v>
      </c>
      <c r="Q119" s="422"/>
    </row>
    <row r="120" spans="1:17" ht="30" x14ac:dyDescent="0.25">
      <c r="A120" s="420" t="s">
        <v>668</v>
      </c>
      <c r="B120" s="707" t="s">
        <v>666</v>
      </c>
      <c r="C120" s="702"/>
      <c r="D120" s="702"/>
      <c r="E120" s="702"/>
      <c r="F120" s="702"/>
      <c r="G120" s="702"/>
      <c r="H120" s="702"/>
      <c r="I120" s="702"/>
      <c r="J120" s="702"/>
      <c r="K120" s="702"/>
      <c r="L120" s="702"/>
      <c r="M120" s="702"/>
      <c r="N120" s="702"/>
      <c r="O120" s="702"/>
      <c r="P120" s="703"/>
      <c r="Q120" s="422"/>
    </row>
    <row r="121" spans="1:17" ht="30" x14ac:dyDescent="0.25">
      <c r="A121" s="420" t="s">
        <v>669</v>
      </c>
      <c r="B121" s="421" t="s">
        <v>487</v>
      </c>
      <c r="C121" s="422">
        <v>2</v>
      </c>
      <c r="D121" s="420" t="s">
        <v>618</v>
      </c>
      <c r="E121" s="422"/>
      <c r="F121" s="422" t="s">
        <v>302</v>
      </c>
      <c r="G121" s="422"/>
      <c r="H121" s="422"/>
      <c r="I121" s="422"/>
      <c r="J121" s="422" t="s">
        <v>619</v>
      </c>
      <c r="K121" s="422" t="s">
        <v>664</v>
      </c>
      <c r="L121" s="423">
        <v>40000</v>
      </c>
      <c r="M121" s="422" t="s">
        <v>665</v>
      </c>
      <c r="N121" s="422"/>
      <c r="O121" s="422" t="s">
        <v>620</v>
      </c>
      <c r="P121" s="445">
        <v>100</v>
      </c>
      <c r="Q121" s="422"/>
    </row>
    <row r="122" spans="1:17" ht="30" x14ac:dyDescent="0.25">
      <c r="A122" s="420" t="s">
        <v>669</v>
      </c>
      <c r="B122" s="707" t="s">
        <v>666</v>
      </c>
      <c r="C122" s="702"/>
      <c r="D122" s="702"/>
      <c r="E122" s="702"/>
      <c r="F122" s="702"/>
      <c r="G122" s="702"/>
      <c r="H122" s="702"/>
      <c r="I122" s="702"/>
      <c r="J122" s="702"/>
      <c r="K122" s="702"/>
      <c r="L122" s="702"/>
      <c r="M122" s="702"/>
      <c r="N122" s="702"/>
      <c r="O122" s="702"/>
      <c r="P122" s="703"/>
      <c r="Q122" s="422"/>
    </row>
    <row r="123" spans="1:17" ht="168" customHeight="1" x14ac:dyDescent="0.25">
      <c r="D123" s="405" t="s">
        <v>670</v>
      </c>
      <c r="K123" s="428" t="s">
        <v>671</v>
      </c>
    </row>
    <row r="127" spans="1:17" x14ac:dyDescent="0.25">
      <c r="B127" s="404" t="s">
        <v>512</v>
      </c>
      <c r="C127">
        <v>1</v>
      </c>
      <c r="D127" s="405" t="s">
        <v>513</v>
      </c>
    </row>
    <row r="128" spans="1:17" x14ac:dyDescent="0.25">
      <c r="B128" s="404" t="s">
        <v>514</v>
      </c>
      <c r="C128">
        <v>2</v>
      </c>
      <c r="D128" s="405" t="s">
        <v>515</v>
      </c>
    </row>
    <row r="129" spans="2:4" x14ac:dyDescent="0.25">
      <c r="B129" s="404" t="s">
        <v>516</v>
      </c>
      <c r="C129">
        <v>3</v>
      </c>
      <c r="D129" s="405" t="s">
        <v>517</v>
      </c>
    </row>
    <row r="130" spans="2:4" x14ac:dyDescent="0.25">
      <c r="B130" s="404" t="s">
        <v>518</v>
      </c>
      <c r="C130">
        <v>4</v>
      </c>
      <c r="D130" s="405" t="s">
        <v>519</v>
      </c>
    </row>
    <row r="131" spans="2:4" x14ac:dyDescent="0.25">
      <c r="B131" s="404" t="s">
        <v>487</v>
      </c>
      <c r="D131" s="405" t="s">
        <v>520</v>
      </c>
    </row>
    <row r="132" spans="2:4" x14ac:dyDescent="0.25">
      <c r="B132" s="404" t="s">
        <v>521</v>
      </c>
      <c r="D132" s="405" t="s">
        <v>522</v>
      </c>
    </row>
    <row r="133" spans="2:4" x14ac:dyDescent="0.25">
      <c r="B133" s="404" t="s">
        <v>523</v>
      </c>
      <c r="D133" s="405" t="s">
        <v>524</v>
      </c>
    </row>
    <row r="134" spans="2:4" x14ac:dyDescent="0.25">
      <c r="B134" s="404" t="s">
        <v>525</v>
      </c>
      <c r="D134" s="405" t="s">
        <v>526</v>
      </c>
    </row>
    <row r="135" spans="2:4" x14ac:dyDescent="0.25">
      <c r="B135" s="404" t="s">
        <v>527</v>
      </c>
      <c r="D135" s="405" t="s">
        <v>488</v>
      </c>
    </row>
    <row r="136" spans="2:4" x14ac:dyDescent="0.25">
      <c r="B136" s="404" t="s">
        <v>491</v>
      </c>
      <c r="D136" s="405" t="s">
        <v>528</v>
      </c>
    </row>
    <row r="137" spans="2:4" x14ac:dyDescent="0.25">
      <c r="B137" s="404" t="s">
        <v>489</v>
      </c>
      <c r="D137" s="405" t="s">
        <v>529</v>
      </c>
    </row>
    <row r="138" spans="2:4" x14ac:dyDescent="0.25">
      <c r="D138" s="405" t="s">
        <v>530</v>
      </c>
    </row>
    <row r="139" spans="2:4" x14ac:dyDescent="0.25">
      <c r="D139" s="405" t="s">
        <v>531</v>
      </c>
    </row>
    <row r="140" spans="2:4" x14ac:dyDescent="0.25">
      <c r="D140" s="405" t="s">
        <v>532</v>
      </c>
    </row>
    <row r="141" spans="2:4" x14ac:dyDescent="0.25">
      <c r="D141" s="405" t="s">
        <v>533</v>
      </c>
    </row>
    <row r="142" spans="2:4" x14ac:dyDescent="0.25">
      <c r="D142" s="405" t="s">
        <v>534</v>
      </c>
    </row>
    <row r="143" spans="2:4" x14ac:dyDescent="0.25">
      <c r="D143" s="405" t="s">
        <v>535</v>
      </c>
    </row>
    <row r="144" spans="2:4" x14ac:dyDescent="0.25">
      <c r="D144" s="405" t="s">
        <v>536</v>
      </c>
    </row>
    <row r="145" spans="4:4" x14ac:dyDescent="0.25">
      <c r="D145" s="405" t="s">
        <v>537</v>
      </c>
    </row>
    <row r="146" spans="4:4" x14ac:dyDescent="0.25">
      <c r="D146" s="405" t="s">
        <v>538</v>
      </c>
    </row>
    <row r="147" spans="4:4" x14ac:dyDescent="0.25">
      <c r="D147" s="405" t="s">
        <v>539</v>
      </c>
    </row>
    <row r="148" spans="4:4" x14ac:dyDescent="0.25">
      <c r="D148" s="405" t="s">
        <v>540</v>
      </c>
    </row>
    <row r="149" spans="4:4" x14ac:dyDescent="0.25">
      <c r="D149" s="405" t="s">
        <v>541</v>
      </c>
    </row>
    <row r="150" spans="4:4" x14ac:dyDescent="0.25">
      <c r="D150" s="405" t="s">
        <v>542</v>
      </c>
    </row>
    <row r="151" spans="4:4" x14ac:dyDescent="0.25">
      <c r="D151" s="405" t="s">
        <v>490</v>
      </c>
    </row>
  </sheetData>
  <mergeCells count="27">
    <mergeCell ref="B118:P118"/>
    <mergeCell ref="B120:P120"/>
    <mergeCell ref="B122:P122"/>
    <mergeCell ref="A42:A55"/>
    <mergeCell ref="A56:A71"/>
    <mergeCell ref="A72:A84"/>
    <mergeCell ref="A85:A90"/>
    <mergeCell ref="B116:P116"/>
    <mergeCell ref="A105:A114"/>
    <mergeCell ref="A91:A104"/>
    <mergeCell ref="B41:P41"/>
    <mergeCell ref="E2:I2"/>
    <mergeCell ref="J2:J3"/>
    <mergeCell ref="K2:K3"/>
    <mergeCell ref="L2:L3"/>
    <mergeCell ref="M2:M3"/>
    <mergeCell ref="N2:N3"/>
    <mergeCell ref="O2:O3"/>
    <mergeCell ref="P2:P3"/>
    <mergeCell ref="B39:P39"/>
    <mergeCell ref="B40:P40"/>
    <mergeCell ref="Q2:Q3"/>
    <mergeCell ref="E1:I1"/>
    <mergeCell ref="A2:A3"/>
    <mergeCell ref="B2:B3"/>
    <mergeCell ref="C2:C3"/>
    <mergeCell ref="D2: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F7EF1C1C062143BFFF71E2625A0116" ma:contentTypeVersion="21" ma:contentTypeDescription="Create a new document." ma:contentTypeScope="" ma:versionID="e63d8523aa913cb9fd66e2b79faccd4a">
  <xsd:schema xmlns:xsd="http://www.w3.org/2001/XMLSchema" xmlns:xs="http://www.w3.org/2001/XMLSchema" xmlns:p="http://schemas.microsoft.com/office/2006/metadata/properties" xmlns:ns2="b7919694-6f7e-4008-b8d9-56ebe66c43d7" xmlns:ns3="9b483750-598d-46a0-877d-052f8f804d23" targetNamespace="http://schemas.microsoft.com/office/2006/metadata/properties" ma:root="true" ma:fieldsID="97ac55c0f247301b3a04f17b5a3670cb" ns2:_="" ns3:_="">
    <xsd:import namespace="b7919694-6f7e-4008-b8d9-56ebe66c43d7"/>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9694-6f7e-4008-b8d9-56ebe66c43d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6b22ef0-6631-4e3d-8660-4ec86ac9ea1c}"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b7919694-6f7e-4008-b8d9-56ebe66c43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51507-7404-4A9F-881B-062647BC9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19694-6f7e-4008-b8d9-56ebe66c43d7"/>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7033A-3F22-4301-BC4B-B1C7D3123093}">
  <ds:schemaRefs>
    <ds:schemaRef ds:uri="http://schemas.microsoft.com/office/infopath/2007/PartnerControls"/>
    <ds:schemaRef ds:uri="9b483750-598d-46a0-877d-052f8f804d23"/>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b7919694-6f7e-4008-b8d9-56ebe66c43d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C5DC840-CA6B-439F-916F-55162E871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1</vt:i4>
      </vt:variant>
    </vt:vector>
  </HeadingPairs>
  <TitlesOfParts>
    <vt:vector size="7" baseType="lpstr">
      <vt:lpstr>kuni 2025 detsember tegevuskava</vt:lpstr>
      <vt:lpstr>Seirearuanne</vt:lpstr>
      <vt:lpstr>Ettekande arvutused</vt:lpstr>
      <vt:lpstr>KK_lisa</vt:lpstr>
      <vt:lpstr>Tegevuskava</vt:lpstr>
      <vt:lpstr>Personal</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Margo Keerme - MKM</cp:lastModifiedBy>
  <cp:revision/>
  <cp:lastPrinted>2024-10-11T13:30:41Z</cp:lastPrinted>
  <dcterms:created xsi:type="dcterms:W3CDTF">2020-07-01T09:13:12Z</dcterms:created>
  <dcterms:modified xsi:type="dcterms:W3CDTF">2024-10-11T13:32:34Z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0x010100CFF7EF1C1C062143BFFF71E2625A0116</vt:lpwstr>
  </property>
  <property fmtid="{D5CDD505-2E9C-101B-9397-08002B2CF9AE}" pid="3" name="_dlc_DocIdItemGuid">
    <vt:lpwstr>3d82843b-2587-4efb-bd50-5d6f5c6dcffa</vt:lpwstr>
  </property>
  <property fmtid="{D5CDD505-2E9C-101B-9397-08002B2CF9AE}" pid="4" name="MediaServiceImageTags">
    <vt:lpwstr/>
  </property>
  <property fmtid="{D5CDD505-2E9C-101B-9397-08002B2CF9AE}" pid="5" name="MSIP_Label_defa4170-0d19-0005-0004-bc88714345d2_Enabled">
    <vt:lpwstr>true</vt:lpwstr>
  </property>
  <property fmtid="{D5CDD505-2E9C-101B-9397-08002B2CF9AE}" pid="6" name="MSIP_Label_defa4170-0d19-0005-0004-bc88714345d2_SetDate">
    <vt:lpwstr>2024-07-11T12:50:38Z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f2f6cbab-9b39-4ea5-bf0b-3aa9810e3ff8</vt:lpwstr>
  </property>
  <property fmtid="{D5CDD505-2E9C-101B-9397-08002B2CF9AE}" pid="11" name="MSIP_Label_defa4170-0d19-0005-0004-bc88714345d2_ContentBits">
    <vt:lpwstr>0</vt:lpwstr>
  </property>
</Properties>
</file>